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JE.DIFDOM01\Desktop\"/>
    </mc:Choice>
  </mc:AlternateContent>
  <bookViews>
    <workbookView xWindow="-96" yWindow="-96" windowWidth="23232" windowHeight="12552"/>
  </bookViews>
  <sheets>
    <sheet name="Kampe" sheetId="1" r:id="rId1"/>
    <sheet name="Opsumering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6" i="1" l="1"/>
  <c r="J126" i="1"/>
  <c r="I125" i="1"/>
  <c r="J125" i="1"/>
  <c r="I124" i="1"/>
  <c r="J124" i="1"/>
  <c r="I123" i="1"/>
  <c r="J123" i="1"/>
  <c r="I122" i="1"/>
  <c r="J122" i="1"/>
  <c r="I121" i="1"/>
  <c r="J121" i="1"/>
  <c r="I120" i="1"/>
  <c r="J120" i="1"/>
  <c r="I119" i="1"/>
  <c r="J119" i="1"/>
  <c r="I118" i="1"/>
  <c r="J118" i="1"/>
  <c r="I117" i="1"/>
  <c r="J117" i="1"/>
  <c r="I116" i="1"/>
  <c r="J116" i="1"/>
  <c r="I115" i="1"/>
  <c r="J115" i="1"/>
  <c r="I114" i="1"/>
  <c r="J114" i="1"/>
  <c r="I113" i="1"/>
  <c r="J113" i="1"/>
  <c r="I112" i="1"/>
  <c r="J112" i="1"/>
  <c r="I111" i="1"/>
  <c r="J111" i="1"/>
  <c r="I110" i="1"/>
  <c r="J110" i="1"/>
  <c r="I109" i="1"/>
  <c r="J109" i="1"/>
  <c r="I108" i="1"/>
  <c r="J108" i="1"/>
  <c r="I107" i="1"/>
  <c r="J107" i="1"/>
  <c r="I106" i="1"/>
  <c r="J106" i="1"/>
  <c r="I105" i="1"/>
  <c r="J105" i="1"/>
  <c r="I104" i="1"/>
  <c r="J104" i="1"/>
  <c r="I103" i="1"/>
  <c r="J103" i="1"/>
  <c r="I102" i="1"/>
  <c r="J102" i="1"/>
  <c r="I101" i="1"/>
  <c r="J101" i="1"/>
  <c r="I99" i="1"/>
  <c r="J99" i="1"/>
  <c r="I100" i="1"/>
  <c r="J100" i="1"/>
  <c r="J2" i="1"/>
  <c r="J3" i="1"/>
  <c r="J5" i="1"/>
  <c r="J4" i="1"/>
  <c r="J6" i="1"/>
  <c r="J8" i="1"/>
  <c r="J7" i="1"/>
  <c r="J10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2" i="1"/>
  <c r="J34" i="1"/>
  <c r="J36" i="1"/>
  <c r="J35" i="1"/>
  <c r="J37" i="1"/>
  <c r="J38" i="1"/>
  <c r="J39" i="1"/>
  <c r="J40" i="1"/>
  <c r="J41" i="1"/>
  <c r="J42" i="1"/>
  <c r="J43" i="1"/>
  <c r="J44" i="1"/>
  <c r="J45" i="1"/>
  <c r="J46" i="1"/>
  <c r="J48" i="1"/>
  <c r="J47" i="1"/>
  <c r="J50" i="1"/>
  <c r="J49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6" i="1"/>
  <c r="J78" i="1"/>
  <c r="J79" i="1"/>
  <c r="J80" i="1"/>
  <c r="J81" i="1"/>
  <c r="J83" i="1"/>
  <c r="J82" i="1"/>
  <c r="J84" i="1"/>
  <c r="J86" i="1"/>
  <c r="J85" i="1"/>
  <c r="J87" i="1"/>
  <c r="J88" i="1"/>
  <c r="J90" i="1"/>
  <c r="J89" i="1"/>
  <c r="J93" i="1"/>
  <c r="J92" i="1"/>
  <c r="J91" i="1"/>
  <c r="J95" i="1"/>
  <c r="J94" i="1"/>
  <c r="J97" i="1"/>
  <c r="J96" i="1"/>
  <c r="J98" i="1"/>
  <c r="I98" i="1"/>
  <c r="I96" i="1"/>
  <c r="I97" i="1"/>
  <c r="I94" i="1"/>
  <c r="I95" i="1"/>
  <c r="I91" i="1"/>
  <c r="I92" i="1"/>
  <c r="I93" i="1"/>
  <c r="I89" i="1"/>
  <c r="I90" i="1"/>
  <c r="I88" i="1"/>
  <c r="I87" i="1"/>
  <c r="I85" i="1"/>
  <c r="I86" i="1"/>
  <c r="I84" i="1"/>
  <c r="I82" i="1"/>
  <c r="I83" i="1"/>
  <c r="I81" i="1"/>
  <c r="I80" i="1"/>
  <c r="I79" i="1"/>
  <c r="I78" i="1"/>
  <c r="I76" i="1"/>
  <c r="I77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9" i="1"/>
  <c r="I50" i="1"/>
  <c r="I47" i="1"/>
  <c r="I48" i="1"/>
  <c r="I46" i="1"/>
  <c r="I45" i="1"/>
  <c r="I44" i="1"/>
  <c r="I43" i="1"/>
  <c r="I42" i="1"/>
  <c r="I41" i="1"/>
  <c r="I40" i="1"/>
  <c r="I39" i="1"/>
  <c r="I38" i="1"/>
  <c r="I37" i="1"/>
  <c r="I35" i="1"/>
  <c r="I36" i="1"/>
  <c r="I34" i="1"/>
  <c r="I32" i="1"/>
  <c r="I33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6" i="1"/>
  <c r="I3" i="1"/>
  <c r="I2" i="1"/>
</calcChain>
</file>

<file path=xl/comments1.xml><?xml version="1.0" encoding="utf-8"?>
<comments xmlns="http://schemas.openxmlformats.org/spreadsheetml/2006/main">
  <authors>
    <author>Mads Gerner Pedersen</author>
  </authors>
  <commentList>
    <comment ref="G1" authorId="0" shapeId="0">
      <text>
        <r>
          <rPr>
            <sz val="9"/>
            <color indexed="81"/>
            <rFont val="Tahoma"/>
            <charset val="1"/>
          </rPr>
          <t>Antal unikke IP-adresser der har streamet minimum 60 sekunder af kampen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>Maksimalt antal unikke IP-adresser der streamer på samme tid.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>Antal streammede minutter.
Eksempel: Streamer 100 IP-adresser, hver denne produktion i 25 minutter vil engagementet være 2500 minutter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"Engagement" (kolonne I) divideret med "Seere, Total" (Kolonne G)
Eksempel: 9718 engagements-minutter med 199 unikke seere:
9718/199=48,8
</t>
        </r>
      </text>
    </comment>
  </commentList>
</comments>
</file>

<file path=xl/sharedStrings.xml><?xml version="1.0" encoding="utf-8"?>
<sst xmlns="http://schemas.openxmlformats.org/spreadsheetml/2006/main" count="543" uniqueCount="48">
  <si>
    <t>Dato</t>
  </si>
  <si>
    <t>Kamp Nr.</t>
  </si>
  <si>
    <t>Køn</t>
  </si>
  <si>
    <t>Kampstatus</t>
  </si>
  <si>
    <t>Hjemmehold</t>
  </si>
  <si>
    <t>Udehold</t>
  </si>
  <si>
    <t>M</t>
  </si>
  <si>
    <t>Grundspil</t>
  </si>
  <si>
    <t>Middelfart</t>
  </si>
  <si>
    <t>HVK</t>
  </si>
  <si>
    <t>K</t>
  </si>
  <si>
    <t>Brøndby</t>
  </si>
  <si>
    <t>Holte</t>
  </si>
  <si>
    <t>EVA</t>
  </si>
  <si>
    <t>Fortuna</t>
  </si>
  <si>
    <t>ASV</t>
  </si>
  <si>
    <t>Marienlyst</t>
  </si>
  <si>
    <t>Lyngby</t>
  </si>
  <si>
    <t>VKV</t>
  </si>
  <si>
    <t>Gentofte</t>
  </si>
  <si>
    <t>Amager</t>
  </si>
  <si>
    <t>Ikast</t>
  </si>
  <si>
    <t>Køge</t>
  </si>
  <si>
    <t>Ishøj</t>
  </si>
  <si>
    <t>Kvartfinale</t>
  </si>
  <si>
    <t>Semifinale</t>
  </si>
  <si>
    <t>Bronze</t>
  </si>
  <si>
    <t>Finale</t>
  </si>
  <si>
    <t>Aalborg</t>
  </si>
  <si>
    <t>Frederiksberg</t>
  </si>
  <si>
    <t>M
K</t>
  </si>
  <si>
    <t>Gentofte
EVA</t>
  </si>
  <si>
    <t>Middelfart
Amager</t>
  </si>
  <si>
    <t>Nordenskov</t>
  </si>
  <si>
    <t>Seere, Total</t>
  </si>
  <si>
    <t>Seere, Peak</t>
  </si>
  <si>
    <t>Engagement (minutter)</t>
  </si>
  <si>
    <t>Gns. Engagement (minutter)</t>
  </si>
  <si>
    <t>2017/2018</t>
  </si>
  <si>
    <t>2018/2019</t>
  </si>
  <si>
    <t>Mænd</t>
  </si>
  <si>
    <t>Kvinder</t>
  </si>
  <si>
    <t>Kvartfinaler</t>
  </si>
  <si>
    <t>Semifinaler</t>
  </si>
  <si>
    <t>Finaler</t>
  </si>
  <si>
    <t>Slutspil Total</t>
  </si>
  <si>
    <t>Total</t>
  </si>
  <si>
    <t>Gennemsnitlige seertal i VolleyLigaen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</si>
</sst>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NumberFormat="1" applyBorder="1"/>
    <xf numFmtId="164" fontId="0" fillId="0" borderId="0" xfId="0" applyNumberFormat="1" applyBorder="1"/>
    <xf numFmtId="0" fontId="0" fillId="0" borderId="0" xfId="0" applyAlignment="1">
      <alignment wrapText="1"/>
    </xf>
    <xf numFmtId="0" fontId="0" fillId="0" borderId="2" xfId="0" applyNumberForma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 applyBorder="1"/>
    <xf numFmtId="14" fontId="0" fillId="0" borderId="0" xfId="0" applyNumberFormat="1" applyBorder="1"/>
    <xf numFmtId="14" fontId="1" fillId="0" borderId="0" xfId="0" applyNumberFormat="1" applyFont="1" applyBorder="1"/>
    <xf numFmtId="14" fontId="0" fillId="0" borderId="1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6" xfId="0" applyFont="1" applyFill="1" applyBorder="1"/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2" xfId="0" applyFont="1" applyFill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3" borderId="12" xfId="0" applyFont="1" applyFill="1" applyBorder="1"/>
    <xf numFmtId="0" fontId="0" fillId="3" borderId="13" xfId="0" applyFont="1" applyFill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" borderId="20" xfId="0" applyFont="1" applyFill="1" applyBorder="1"/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6">
    <dxf>
      <numFmt numFmtId="164" formatCode="0.0"/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0" formatCode="General"/>
    </dxf>
    <dxf>
      <numFmt numFmtId="19" formatCode="dd/mm/yyyy"/>
    </dxf>
    <dxf>
      <border outline="0">
        <left style="medium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289560</xdr:colOff>
      <xdr:row>1</xdr:row>
      <xdr:rowOff>3810</xdr:rowOff>
    </xdr:from>
    <xdr:to>
      <xdr:col>14</xdr:col>
      <xdr:colOff>613410</xdr:colOff>
      <xdr:row>27</xdr:row>
      <xdr:rowOff>22860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625F4E4C-72B7-4309-9CA2-63C1AAAA25EB}"/>
            </a:ext>
          </a:extLst>
        </xdr:cNvPr>
        <xdr:cNvSpPr txBox="1"/>
      </xdr:nvSpPr>
      <xdr:spPr>
        <a:xfrm>
          <a:off x="10572750" y="186690"/>
          <a:ext cx="2884170" cy="47739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Vær opmærksom på at kampe markeret med </a:t>
          </a:r>
          <a:r>
            <a:rPr lang="da-DK" sz="1100" b="1"/>
            <a:t>FED</a:t>
          </a:r>
          <a:r>
            <a:rPr lang="da-DK" sz="1100" b="0"/>
            <a:t> er kampe streamet på volleyTV men som ikke er produceret af Volleyball Danmark.</a:t>
          </a:r>
        </a:p>
        <a:p>
          <a:endParaRPr lang="da-DK" sz="1100" b="0"/>
        </a:p>
        <a:p>
          <a:r>
            <a:rPr lang="da-DK" sz="1100" b="1"/>
            <a:t>Kolonne-forklaringer:</a:t>
          </a:r>
        </a:p>
        <a:p>
          <a:endParaRPr lang="da-DK" sz="1100" b="1"/>
        </a:p>
        <a:p>
          <a:r>
            <a:rPr lang="da-DK" sz="1100" b="0" i="1"/>
            <a:t>Dato:</a:t>
          </a:r>
          <a:r>
            <a:rPr lang="da-DK" sz="1100" b="0" i="1" baseline="0"/>
            <a:t> </a:t>
          </a:r>
          <a:r>
            <a:rPr lang="da-DK" sz="1100" b="0" i="0" baseline="0"/>
            <a:t>Dato for kampens afvikling</a:t>
          </a:r>
        </a:p>
        <a:p>
          <a:r>
            <a:rPr lang="da-DK" sz="1100" b="0" i="1" baseline="0"/>
            <a:t>Kamp Nr.: </a:t>
          </a:r>
          <a:r>
            <a:rPr lang="da-DK" sz="1100" b="0" i="0" baseline="0"/>
            <a:t>Hjælpekolonner - fortløbende nummerering af volleyTV-produktioner</a:t>
          </a:r>
        </a:p>
        <a:p>
          <a:endParaRPr lang="da-DK" sz="1100" b="0" i="1" baseline="0"/>
        </a:p>
        <a:p>
          <a:r>
            <a:rPr lang="da-DK" sz="1100" b="0" i="1" baseline="0"/>
            <a:t>Seere, Total: </a:t>
          </a:r>
          <a:r>
            <a:rPr lang="da-DK" sz="1100" b="0" i="0" baseline="0"/>
            <a:t>Antal unikke IP-adresser der har streamet minimum 60 sekunder af kampen</a:t>
          </a:r>
        </a:p>
        <a:p>
          <a:endParaRPr lang="da-DK" sz="1100" b="0" i="0" baseline="0"/>
        </a:p>
        <a:p>
          <a:r>
            <a:rPr lang="da-DK" sz="1100" b="0" i="1" baseline="0"/>
            <a:t>Seere, Peak: </a:t>
          </a:r>
          <a:r>
            <a:rPr lang="da-DK" sz="1100" b="0" i="0" baseline="0"/>
            <a:t>Maksimalt antal unikke IP-adresser der streamer på samme tid.</a:t>
          </a:r>
        </a:p>
        <a:p>
          <a:endParaRPr lang="da-DK" sz="1100" b="0" i="0" baseline="0"/>
        </a:p>
        <a:p>
          <a:r>
            <a:rPr lang="da-DK" sz="1100" b="0" i="1" baseline="0"/>
            <a:t>Engagement (minutter): </a:t>
          </a:r>
          <a:r>
            <a:rPr lang="da-DK" sz="1100" b="0" i="0" baseline="0"/>
            <a:t>Antal streamede minutter.</a:t>
          </a:r>
        </a:p>
        <a:p>
          <a:r>
            <a:rPr lang="da-DK" sz="1100" b="0" i="0" baseline="0"/>
            <a:t>Eksempel: Streamer 100 IP-adresser, hver denne produktion i 25 minutter vil engagementet være 2500 minutter</a:t>
          </a:r>
        </a:p>
        <a:p>
          <a:endParaRPr lang="da-DK" sz="1100" b="0" i="0" baseline="0"/>
        </a:p>
        <a:p>
          <a:r>
            <a:rPr lang="da-DK" sz="1100" b="0" i="1" baseline="0"/>
            <a:t>Gns. Engagement (minutter): </a:t>
          </a:r>
          <a:r>
            <a:rPr lang="da-DK" sz="1100" b="0" i="0" baseline="0"/>
            <a:t>"Engagement" (kolonne I) divideret med "Seere, Total" (Kolonne G)</a:t>
          </a:r>
        </a:p>
        <a:p>
          <a:r>
            <a:rPr lang="da-DK" sz="1100" b="0" i="0" baseline="0"/>
            <a:t>Eksempel: 9718 engagements-minutter med 199 unikke seere: 9718/199=48,8</a:t>
          </a:r>
          <a:endParaRPr lang="da-DK" sz="1100" b="0" i="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1" displayName="Tabel1" ref="A1:J126" totalsRowShown="0" tableBorderDxfId="5">
  <autoFilter ref="A1:J126">
    <filterColumn colId="2">
      <filters>
        <filter val="K"/>
        <filter val="M"/>
      </filters>
    </filterColumn>
  </autoFilter>
  <sortState ref="A2:J126">
    <sortCondition ref="B1:B126"/>
  </sortState>
  <tableColumns count="10">
    <tableColumn id="1" name="Dato" dataDxfId="4"/>
    <tableColumn id="2" name="Kamp Nr." dataDxfId="3"/>
    <tableColumn id="3" name="Køn"/>
    <tableColumn id="4" name="Kampstatus"/>
    <tableColumn id="5" name="Hjemmehold"/>
    <tableColumn id="6" name="Udehold"/>
    <tableColumn id="7" name="Seere, Total" dataDxfId="2"/>
    <tableColumn id="8" name="Seere, Peak"/>
    <tableColumn id="9" name="Engagement (minutter)" dataDxfId="1"/>
    <tableColumn id="10" name="Gns. Engagement (minutter)" dataDxfId="0">
      <calculatedColumnFormula>Tabel1[[#This Row],[Engagement (minutter)]]/Tabel1[[#This Row],[Seere, Total]]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7"/>
  <sheetViews>
    <sheetView tabSelected="1" workbookViewId="0">
      <selection activeCell="B4" sqref="B4"/>
    </sheetView>
  </sheetViews>
  <sheetFormatPr defaultRowHeight="14.4" x14ac:dyDescent="0.3"/>
  <cols>
    <col min="1" max="1" width="9.88671875" bestFit="1" customWidth="1"/>
    <col min="2" max="2" width="10" customWidth="1"/>
    <col min="4" max="4" width="12.44140625" bestFit="1" customWidth="1"/>
    <col min="5" max="5" width="13.33203125" bestFit="1" customWidth="1"/>
    <col min="6" max="6" width="11.44140625" bestFit="1" customWidth="1"/>
    <col min="7" max="7" width="14" bestFit="1" customWidth="1"/>
    <col min="8" max="8" width="13.88671875" bestFit="1" customWidth="1"/>
    <col min="9" max="9" width="22" bestFit="1" customWidth="1"/>
    <col min="10" max="10" width="26.109375" bestFit="1" customWidth="1"/>
    <col min="12" max="12" width="10.6640625" bestFit="1" customWidth="1"/>
  </cols>
  <sheetData>
    <row r="1" spans="1:10" x14ac:dyDescent="0.3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34</v>
      </c>
      <c r="H1" t="s">
        <v>35</v>
      </c>
      <c r="I1" s="3" t="s">
        <v>36</v>
      </c>
      <c r="J1" s="2" t="s">
        <v>37</v>
      </c>
    </row>
    <row r="2" spans="1:10" x14ac:dyDescent="0.3">
      <c r="A2" s="12">
        <v>42754</v>
      </c>
      <c r="B2" s="4">
        <v>1</v>
      </c>
      <c r="C2" t="s">
        <v>6</v>
      </c>
      <c r="D2" t="s">
        <v>7</v>
      </c>
      <c r="E2" t="s">
        <v>8</v>
      </c>
      <c r="F2" t="s">
        <v>9</v>
      </c>
      <c r="G2" s="1">
        <v>199</v>
      </c>
      <c r="H2">
        <v>100</v>
      </c>
      <c r="I2" s="3">
        <f>161*60+58</f>
        <v>9718</v>
      </c>
      <c r="J2" s="5">
        <f>Tabel1[[#This Row],[Engagement (minutter)]]/Tabel1[[#This Row],[Seere, Total]]</f>
        <v>48.834170854271356</v>
      </c>
    </row>
    <row r="3" spans="1:10" x14ac:dyDescent="0.3">
      <c r="A3" s="12">
        <v>42761</v>
      </c>
      <c r="B3" s="4">
        <v>2</v>
      </c>
      <c r="C3" t="s">
        <v>10</v>
      </c>
      <c r="D3" t="s">
        <v>7</v>
      </c>
      <c r="E3" t="s">
        <v>11</v>
      </c>
      <c r="F3" t="s">
        <v>12</v>
      </c>
      <c r="G3" s="1">
        <v>102</v>
      </c>
      <c r="H3">
        <v>78</v>
      </c>
      <c r="I3" s="3">
        <f>87*60+17</f>
        <v>5237</v>
      </c>
      <c r="J3" s="5">
        <f>Tabel1[[#This Row],[Engagement (minutter)]]/Tabel1[[#This Row],[Seere, Total]]</f>
        <v>51.343137254901961</v>
      </c>
    </row>
    <row r="4" spans="1:10" x14ac:dyDescent="0.3">
      <c r="A4" s="12">
        <v>42763</v>
      </c>
      <c r="B4" s="4">
        <v>3</v>
      </c>
      <c r="C4" t="s">
        <v>6</v>
      </c>
      <c r="D4" t="s">
        <v>7</v>
      </c>
      <c r="E4" t="s">
        <v>15</v>
      </c>
      <c r="F4" t="s">
        <v>16</v>
      </c>
      <c r="G4" s="1">
        <v>187</v>
      </c>
      <c r="H4">
        <v>64</v>
      </c>
      <c r="I4" s="3">
        <v>4175</v>
      </c>
      <c r="J4" s="5">
        <f>Tabel1[[#This Row],[Engagement (minutter)]]/Tabel1[[#This Row],[Seere, Total]]</f>
        <v>22.326203208556151</v>
      </c>
    </row>
    <row r="5" spans="1:10" x14ac:dyDescent="0.3">
      <c r="A5" s="12">
        <v>42763</v>
      </c>
      <c r="B5" s="4">
        <v>4</v>
      </c>
      <c r="C5" s="6" t="s">
        <v>10</v>
      </c>
      <c r="D5" t="s">
        <v>7</v>
      </c>
      <c r="E5" s="6" t="s">
        <v>13</v>
      </c>
      <c r="F5" s="6" t="s">
        <v>14</v>
      </c>
      <c r="G5" s="1">
        <v>187</v>
      </c>
      <c r="H5">
        <v>64</v>
      </c>
      <c r="I5" s="3">
        <v>4175</v>
      </c>
      <c r="J5" s="5">
        <f>Tabel1[[#This Row],[Engagement (minutter)]]/Tabel1[[#This Row],[Seere, Total]]</f>
        <v>22.326203208556151</v>
      </c>
    </row>
    <row r="6" spans="1:10" x14ac:dyDescent="0.3">
      <c r="A6" s="12">
        <v>42768</v>
      </c>
      <c r="B6" s="4">
        <v>5</v>
      </c>
      <c r="C6" t="s">
        <v>6</v>
      </c>
      <c r="D6" t="s">
        <v>7</v>
      </c>
      <c r="E6" t="s">
        <v>17</v>
      </c>
      <c r="F6" t="s">
        <v>18</v>
      </c>
      <c r="G6" s="1">
        <v>165</v>
      </c>
      <c r="H6">
        <v>101</v>
      </c>
      <c r="I6" s="3">
        <f>153*60+27</f>
        <v>9207</v>
      </c>
      <c r="J6" s="5">
        <f>Tabel1[[#This Row],[Engagement (minutter)]]/Tabel1[[#This Row],[Seere, Total]]</f>
        <v>55.8</v>
      </c>
    </row>
    <row r="7" spans="1:10" x14ac:dyDescent="0.3">
      <c r="A7" s="12">
        <v>42777</v>
      </c>
      <c r="B7" s="4">
        <v>6</v>
      </c>
      <c r="C7" s="6" t="s">
        <v>6</v>
      </c>
      <c r="D7" t="s">
        <v>7</v>
      </c>
      <c r="E7" s="6" t="s">
        <v>9</v>
      </c>
      <c r="F7" s="6" t="s">
        <v>15</v>
      </c>
      <c r="G7" s="1">
        <v>265</v>
      </c>
      <c r="H7">
        <v>103</v>
      </c>
      <c r="I7" s="7">
        <v>7285</v>
      </c>
      <c r="J7" s="5">
        <f>Tabel1[[#This Row],[Engagement (minutter)]]/Tabel1[[#This Row],[Seere, Total]]</f>
        <v>27.490566037735849</v>
      </c>
    </row>
    <row r="8" spans="1:10" x14ac:dyDescent="0.3">
      <c r="A8" s="12">
        <v>42777</v>
      </c>
      <c r="B8" s="4">
        <v>7</v>
      </c>
      <c r="C8" s="6" t="s">
        <v>10</v>
      </c>
      <c r="D8" t="s">
        <v>7</v>
      </c>
      <c r="E8" s="6" t="s">
        <v>11</v>
      </c>
      <c r="F8" s="6" t="s">
        <v>13</v>
      </c>
      <c r="G8" s="1">
        <v>265</v>
      </c>
      <c r="H8">
        <v>103</v>
      </c>
      <c r="I8" s="3">
        <v>7285</v>
      </c>
      <c r="J8" s="5">
        <f>Tabel1[[#This Row],[Engagement (minutter)]]/Tabel1[[#This Row],[Seere, Total]]</f>
        <v>27.490566037735849</v>
      </c>
    </row>
    <row r="9" spans="1:10" x14ac:dyDescent="0.3">
      <c r="A9" s="12">
        <v>42784</v>
      </c>
      <c r="B9" s="4">
        <v>8</v>
      </c>
      <c r="C9" s="6" t="s">
        <v>10</v>
      </c>
      <c r="D9" t="s">
        <v>7</v>
      </c>
      <c r="E9" s="6" t="s">
        <v>13</v>
      </c>
      <c r="F9" s="6" t="s">
        <v>20</v>
      </c>
      <c r="G9" s="1">
        <v>268</v>
      </c>
      <c r="H9">
        <v>95</v>
      </c>
      <c r="I9" s="7">
        <v>8160</v>
      </c>
      <c r="J9" s="5">
        <f>Tabel1[[#This Row],[Engagement (minutter)]]/Tabel1[[#This Row],[Seere, Total]]</f>
        <v>30.447761194029852</v>
      </c>
    </row>
    <row r="10" spans="1:10" x14ac:dyDescent="0.3">
      <c r="A10" s="12">
        <v>42784</v>
      </c>
      <c r="B10" s="4">
        <v>9</v>
      </c>
      <c r="C10" s="6" t="s">
        <v>6</v>
      </c>
      <c r="D10" t="s">
        <v>7</v>
      </c>
      <c r="E10" s="6" t="s">
        <v>15</v>
      </c>
      <c r="F10" s="6" t="s">
        <v>19</v>
      </c>
      <c r="G10" s="1">
        <v>268</v>
      </c>
      <c r="H10">
        <v>95</v>
      </c>
      <c r="I10" s="3">
        <v>8160</v>
      </c>
      <c r="J10" s="5">
        <f>Tabel1[[#This Row],[Engagement (minutter)]]/Tabel1[[#This Row],[Seere, Total]]</f>
        <v>30.447761194029852</v>
      </c>
    </row>
    <row r="11" spans="1:10" x14ac:dyDescent="0.3">
      <c r="A11" s="12">
        <v>42785</v>
      </c>
      <c r="B11" s="4">
        <v>10</v>
      </c>
      <c r="C11" t="s">
        <v>10</v>
      </c>
      <c r="D11" t="s">
        <v>7</v>
      </c>
      <c r="E11" t="s">
        <v>21</v>
      </c>
      <c r="F11" t="s">
        <v>22</v>
      </c>
      <c r="G11" s="1">
        <v>141</v>
      </c>
      <c r="H11">
        <v>64</v>
      </c>
      <c r="I11" s="3">
        <f>66*60+31</f>
        <v>3991</v>
      </c>
      <c r="J11" s="5">
        <f>Tabel1[[#This Row],[Engagement (minutter)]]/Tabel1[[#This Row],[Seere, Total]]</f>
        <v>28.304964539007091</v>
      </c>
    </row>
    <row r="12" spans="1:10" x14ac:dyDescent="0.3">
      <c r="A12" s="12">
        <v>42787</v>
      </c>
      <c r="B12" s="4">
        <v>11</v>
      </c>
      <c r="C12" t="s">
        <v>6</v>
      </c>
      <c r="D12" t="s">
        <v>7</v>
      </c>
      <c r="E12" t="s">
        <v>23</v>
      </c>
      <c r="F12" t="s">
        <v>8</v>
      </c>
      <c r="G12" s="1">
        <v>202</v>
      </c>
      <c r="H12">
        <v>105</v>
      </c>
      <c r="I12" s="3">
        <f>151*60+59</f>
        <v>9119</v>
      </c>
      <c r="J12" s="5">
        <f>Tabel1[[#This Row],[Engagement (minutter)]]/Tabel1[[#This Row],[Seere, Total]]</f>
        <v>45.143564356435647</v>
      </c>
    </row>
    <row r="13" spans="1:10" x14ac:dyDescent="0.3">
      <c r="A13" s="12">
        <v>42801</v>
      </c>
      <c r="B13" s="4">
        <v>12</v>
      </c>
      <c r="C13" t="s">
        <v>10</v>
      </c>
      <c r="D13" t="s">
        <v>24</v>
      </c>
      <c r="E13" t="s">
        <v>22</v>
      </c>
      <c r="F13" t="s">
        <v>14</v>
      </c>
      <c r="G13" s="1">
        <v>211</v>
      </c>
      <c r="H13">
        <v>115</v>
      </c>
      <c r="I13" s="3">
        <f>135*60+46</f>
        <v>8146</v>
      </c>
      <c r="J13" s="5">
        <f>Tabel1[[#This Row],[Engagement (minutter)]]/Tabel1[[#This Row],[Seere, Total]]</f>
        <v>38.606635071090047</v>
      </c>
    </row>
    <row r="14" spans="1:10" x14ac:dyDescent="0.3">
      <c r="A14" s="12">
        <v>42802</v>
      </c>
      <c r="B14" s="4">
        <v>13</v>
      </c>
      <c r="C14" t="s">
        <v>10</v>
      </c>
      <c r="D14" t="s">
        <v>24</v>
      </c>
      <c r="E14" t="s">
        <v>20</v>
      </c>
      <c r="F14" t="s">
        <v>13</v>
      </c>
      <c r="G14" s="1">
        <v>158</v>
      </c>
      <c r="H14">
        <v>103</v>
      </c>
      <c r="I14" s="3">
        <f>110*60+39</f>
        <v>6639</v>
      </c>
      <c r="J14" s="5">
        <f>Tabel1[[#This Row],[Engagement (minutter)]]/Tabel1[[#This Row],[Seere, Total]]</f>
        <v>42.018987341772153</v>
      </c>
    </row>
    <row r="15" spans="1:10" x14ac:dyDescent="0.3">
      <c r="A15" s="12">
        <v>42803</v>
      </c>
      <c r="B15" s="4">
        <v>14</v>
      </c>
      <c r="C15" t="s">
        <v>6</v>
      </c>
      <c r="D15" t="s">
        <v>24</v>
      </c>
      <c r="E15" t="s">
        <v>8</v>
      </c>
      <c r="F15" t="s">
        <v>9</v>
      </c>
      <c r="G15" s="1">
        <v>243</v>
      </c>
      <c r="H15">
        <v>125</v>
      </c>
      <c r="I15" s="3">
        <f>197*60+21</f>
        <v>11841</v>
      </c>
      <c r="J15" s="5">
        <f>Tabel1[[#This Row],[Engagement (minutter)]]/Tabel1[[#This Row],[Seere, Total]]</f>
        <v>48.728395061728392</v>
      </c>
    </row>
    <row r="16" spans="1:10" x14ac:dyDescent="0.3">
      <c r="A16" s="12">
        <v>42805</v>
      </c>
      <c r="B16" s="4">
        <v>15</v>
      </c>
      <c r="C16" t="s">
        <v>10</v>
      </c>
      <c r="D16" t="s">
        <v>24</v>
      </c>
      <c r="E16" t="s">
        <v>22</v>
      </c>
      <c r="F16" t="s">
        <v>14</v>
      </c>
      <c r="G16" s="1">
        <v>188</v>
      </c>
      <c r="H16">
        <v>103</v>
      </c>
      <c r="I16" s="3">
        <f>134*60+40</f>
        <v>8080</v>
      </c>
      <c r="J16" s="5">
        <f>Tabel1[[#This Row],[Engagement (minutter)]]/Tabel1[[#This Row],[Seere, Total]]</f>
        <v>42.978723404255319</v>
      </c>
    </row>
    <row r="17" spans="1:16" x14ac:dyDescent="0.3">
      <c r="A17" s="12">
        <v>42815</v>
      </c>
      <c r="B17" s="4">
        <v>16</v>
      </c>
      <c r="C17" t="s">
        <v>10</v>
      </c>
      <c r="D17" t="s">
        <v>25</v>
      </c>
      <c r="E17" t="s">
        <v>12</v>
      </c>
      <c r="F17" t="s">
        <v>22</v>
      </c>
      <c r="G17" s="1">
        <v>101</v>
      </c>
      <c r="H17">
        <v>72</v>
      </c>
      <c r="I17" s="3">
        <f>69*60+56</f>
        <v>4196</v>
      </c>
      <c r="J17" s="5">
        <f>Tabel1[[#This Row],[Engagement (minutter)]]/Tabel1[[#This Row],[Seere, Total]]</f>
        <v>41.544554455445542</v>
      </c>
    </row>
    <row r="18" spans="1:16" x14ac:dyDescent="0.3">
      <c r="A18" s="12">
        <v>42816</v>
      </c>
      <c r="B18" s="4">
        <v>17</v>
      </c>
      <c r="C18" t="s">
        <v>6</v>
      </c>
      <c r="D18" t="s">
        <v>25</v>
      </c>
      <c r="E18" t="s">
        <v>19</v>
      </c>
      <c r="F18" t="s">
        <v>9</v>
      </c>
      <c r="G18" s="1">
        <v>136</v>
      </c>
      <c r="H18">
        <v>74</v>
      </c>
      <c r="I18" s="3">
        <f>69*60+23</f>
        <v>4163</v>
      </c>
      <c r="J18" s="5">
        <f>Tabel1[[#This Row],[Engagement (minutter)]]/Tabel1[[#This Row],[Seere, Total]]</f>
        <v>30.610294117647058</v>
      </c>
    </row>
    <row r="19" spans="1:16" x14ac:dyDescent="0.3">
      <c r="A19" s="12">
        <v>42817</v>
      </c>
      <c r="B19" s="4">
        <v>18</v>
      </c>
      <c r="C19" t="s">
        <v>10</v>
      </c>
      <c r="D19" t="s">
        <v>25</v>
      </c>
      <c r="E19" t="s">
        <v>11</v>
      </c>
      <c r="F19" t="s">
        <v>20</v>
      </c>
      <c r="G19" s="1">
        <v>103</v>
      </c>
      <c r="H19">
        <v>60</v>
      </c>
      <c r="I19" s="3">
        <f>72*60+2</f>
        <v>4322</v>
      </c>
      <c r="J19" s="5">
        <f>Tabel1[[#This Row],[Engagement (minutter)]]/Tabel1[[#This Row],[Seere, Total]]</f>
        <v>41.961165048543691</v>
      </c>
    </row>
    <row r="20" spans="1:16" x14ac:dyDescent="0.3">
      <c r="A20" s="12">
        <v>42820</v>
      </c>
      <c r="B20" s="4">
        <v>19</v>
      </c>
      <c r="C20" t="s">
        <v>6</v>
      </c>
      <c r="D20" t="s">
        <v>25</v>
      </c>
      <c r="E20" t="s">
        <v>16</v>
      </c>
      <c r="F20" t="s">
        <v>23</v>
      </c>
      <c r="G20" s="1">
        <v>104</v>
      </c>
      <c r="H20">
        <v>46</v>
      </c>
      <c r="I20" s="3">
        <f>12*60+43</f>
        <v>763</v>
      </c>
      <c r="J20" s="5">
        <f>Tabel1[[#This Row],[Engagement (minutter)]]/Tabel1[[#This Row],[Seere, Total]]</f>
        <v>7.3365384615384617</v>
      </c>
    </row>
    <row r="21" spans="1:16" x14ac:dyDescent="0.3">
      <c r="A21" s="12">
        <v>42824</v>
      </c>
      <c r="B21" s="4">
        <v>20</v>
      </c>
      <c r="C21" t="s">
        <v>6</v>
      </c>
      <c r="D21" t="s">
        <v>25</v>
      </c>
      <c r="E21" t="s">
        <v>23</v>
      </c>
      <c r="F21" t="s">
        <v>16</v>
      </c>
      <c r="G21" s="1">
        <v>199</v>
      </c>
      <c r="H21">
        <v>118</v>
      </c>
      <c r="I21" s="3">
        <f>180*60+1</f>
        <v>10801</v>
      </c>
      <c r="J21" s="5">
        <f>Tabel1[[#This Row],[Engagement (minutter)]]/Tabel1[[#This Row],[Seere, Total]]</f>
        <v>54.276381909547737</v>
      </c>
    </row>
    <row r="22" spans="1:16" x14ac:dyDescent="0.3">
      <c r="A22" s="12">
        <v>42826</v>
      </c>
      <c r="B22" s="4">
        <v>21</v>
      </c>
      <c r="C22" t="s">
        <v>10</v>
      </c>
      <c r="D22" t="s">
        <v>26</v>
      </c>
      <c r="E22" t="s">
        <v>22</v>
      </c>
      <c r="F22" t="s">
        <v>20</v>
      </c>
      <c r="G22" s="1">
        <v>99</v>
      </c>
      <c r="H22">
        <v>59</v>
      </c>
      <c r="I22" s="3">
        <f>71*60+41</f>
        <v>4301</v>
      </c>
      <c r="J22" s="5">
        <f>Tabel1[[#This Row],[Engagement (minutter)]]/Tabel1[[#This Row],[Seere, Total]]</f>
        <v>43.444444444444443</v>
      </c>
    </row>
    <row r="23" spans="1:16" x14ac:dyDescent="0.3">
      <c r="A23" s="12">
        <v>42829</v>
      </c>
      <c r="B23" s="4">
        <v>22</v>
      </c>
      <c r="C23" t="s">
        <v>10</v>
      </c>
      <c r="D23" t="s">
        <v>26</v>
      </c>
      <c r="E23" t="s">
        <v>20</v>
      </c>
      <c r="F23" t="s">
        <v>22</v>
      </c>
      <c r="G23" s="1">
        <v>224</v>
      </c>
      <c r="H23">
        <v>124</v>
      </c>
      <c r="I23" s="3">
        <f>221*60</f>
        <v>13260</v>
      </c>
      <c r="J23" s="5">
        <f>Tabel1[[#This Row],[Engagement (minutter)]]/Tabel1[[#This Row],[Seere, Total]]</f>
        <v>59.196428571428569</v>
      </c>
    </row>
    <row r="24" spans="1:16" x14ac:dyDescent="0.3">
      <c r="A24" s="12">
        <v>42831</v>
      </c>
      <c r="B24" s="4">
        <v>23</v>
      </c>
      <c r="C24" t="s">
        <v>6</v>
      </c>
      <c r="D24" t="s">
        <v>26</v>
      </c>
      <c r="E24" t="s">
        <v>23</v>
      </c>
      <c r="F24" t="s">
        <v>9</v>
      </c>
      <c r="G24" s="1">
        <v>147</v>
      </c>
      <c r="H24">
        <v>77</v>
      </c>
      <c r="I24" s="3">
        <f>93*60+14</f>
        <v>5594</v>
      </c>
      <c r="J24" s="5">
        <f>Tabel1[[#This Row],[Engagement (minutter)]]/Tabel1[[#This Row],[Seere, Total]]</f>
        <v>38.054421768707485</v>
      </c>
    </row>
    <row r="25" spans="1:16" x14ac:dyDescent="0.3">
      <c r="A25" s="12">
        <v>42836</v>
      </c>
      <c r="B25" s="4">
        <v>24</v>
      </c>
      <c r="C25" t="s">
        <v>10</v>
      </c>
      <c r="D25" t="s">
        <v>27</v>
      </c>
      <c r="E25" t="s">
        <v>11</v>
      </c>
      <c r="F25" t="s">
        <v>12</v>
      </c>
      <c r="G25" s="1">
        <v>374</v>
      </c>
      <c r="H25">
        <v>212</v>
      </c>
      <c r="I25" s="3">
        <f>365*60+44</f>
        <v>21944</v>
      </c>
      <c r="J25" s="5">
        <f>Tabel1[[#This Row],[Engagement (minutter)]]/Tabel1[[#This Row],[Seere, Total]]</f>
        <v>58.673796791443849</v>
      </c>
    </row>
    <row r="26" spans="1:16" x14ac:dyDescent="0.3">
      <c r="A26" s="12">
        <v>42837</v>
      </c>
      <c r="B26" s="4">
        <v>25</v>
      </c>
      <c r="C26" t="s">
        <v>6</v>
      </c>
      <c r="D26" t="s">
        <v>27</v>
      </c>
      <c r="E26" t="s">
        <v>16</v>
      </c>
      <c r="F26" t="s">
        <v>19</v>
      </c>
      <c r="G26" s="1">
        <v>499</v>
      </c>
      <c r="H26">
        <v>257</v>
      </c>
      <c r="I26" s="3">
        <f>501*60+59</f>
        <v>30119</v>
      </c>
      <c r="J26" s="5">
        <f>Tabel1[[#This Row],[Engagement (minutter)]]/Tabel1[[#This Row],[Seere, Total]]</f>
        <v>60.358717434869739</v>
      </c>
    </row>
    <row r="27" spans="1:16" x14ac:dyDescent="0.3">
      <c r="A27" s="12">
        <v>42845</v>
      </c>
      <c r="B27" s="4">
        <v>26</v>
      </c>
      <c r="C27" t="s">
        <v>6</v>
      </c>
      <c r="D27" t="s">
        <v>26</v>
      </c>
      <c r="E27" t="s">
        <v>9</v>
      </c>
      <c r="F27" t="s">
        <v>23</v>
      </c>
      <c r="G27" s="1">
        <v>256</v>
      </c>
      <c r="H27">
        <v>126</v>
      </c>
      <c r="I27" s="3">
        <f>172*60+38</f>
        <v>10358</v>
      </c>
      <c r="J27" s="5">
        <f>Tabel1[[#This Row],[Engagement (minutter)]]/Tabel1[[#This Row],[Seere, Total]]</f>
        <v>40.4609375</v>
      </c>
    </row>
    <row r="28" spans="1:16" x14ac:dyDescent="0.3">
      <c r="A28" s="12">
        <v>42847</v>
      </c>
      <c r="B28" s="4">
        <v>27</v>
      </c>
      <c r="C28" t="s">
        <v>10</v>
      </c>
      <c r="D28" t="s">
        <v>27</v>
      </c>
      <c r="E28" t="s">
        <v>12</v>
      </c>
      <c r="F28" t="s">
        <v>11</v>
      </c>
      <c r="G28" s="1">
        <v>481</v>
      </c>
      <c r="H28">
        <v>275</v>
      </c>
      <c r="I28" s="3">
        <f>392*60+59</f>
        <v>23579</v>
      </c>
      <c r="J28" s="5">
        <f>Tabel1[[#This Row],[Engagement (minutter)]]/Tabel1[[#This Row],[Seere, Total]]</f>
        <v>49.020790020790024</v>
      </c>
    </row>
    <row r="29" spans="1:16" x14ac:dyDescent="0.3">
      <c r="A29" s="12">
        <v>42848</v>
      </c>
      <c r="B29" s="4">
        <v>28</v>
      </c>
      <c r="C29" t="s">
        <v>6</v>
      </c>
      <c r="D29" t="s">
        <v>27</v>
      </c>
      <c r="E29" t="s">
        <v>19</v>
      </c>
      <c r="F29" t="s">
        <v>16</v>
      </c>
      <c r="G29" s="1">
        <v>946</v>
      </c>
      <c r="H29">
        <v>561</v>
      </c>
      <c r="I29" s="3">
        <f>1017*60+43</f>
        <v>61063</v>
      </c>
      <c r="J29" s="5">
        <f>Tabel1[[#This Row],[Engagement (minutter)]]/Tabel1[[#This Row],[Seere, Total]]</f>
        <v>64.548625792811833</v>
      </c>
    </row>
    <row r="30" spans="1:16" x14ac:dyDescent="0.3">
      <c r="A30" s="12">
        <v>43015</v>
      </c>
      <c r="B30" s="4">
        <v>29</v>
      </c>
      <c r="C30" t="s">
        <v>10</v>
      </c>
      <c r="D30" t="s">
        <v>7</v>
      </c>
      <c r="E30" t="s">
        <v>11</v>
      </c>
      <c r="F30" t="s">
        <v>12</v>
      </c>
      <c r="G30" s="1">
        <v>182</v>
      </c>
      <c r="H30">
        <v>92</v>
      </c>
      <c r="I30" s="3">
        <f>147*60+22</f>
        <v>8842</v>
      </c>
      <c r="J30" s="5">
        <f>Tabel1[[#This Row],[Engagement (minutter)]]/Tabel1[[#This Row],[Seere, Total]]</f>
        <v>48.582417582417584</v>
      </c>
    </row>
    <row r="31" spans="1:16" x14ac:dyDescent="0.3">
      <c r="A31" s="12">
        <v>43016</v>
      </c>
      <c r="B31" s="4">
        <v>30</v>
      </c>
      <c r="C31" t="s">
        <v>6</v>
      </c>
      <c r="D31" t="s">
        <v>7</v>
      </c>
      <c r="E31" t="s">
        <v>16</v>
      </c>
      <c r="F31" t="s">
        <v>19</v>
      </c>
      <c r="G31" s="1">
        <v>200</v>
      </c>
      <c r="H31">
        <v>94</v>
      </c>
      <c r="I31" s="3">
        <f>89*60+21</f>
        <v>5361</v>
      </c>
      <c r="J31" s="5">
        <f>Tabel1[[#This Row],[Engagement (minutter)]]/Tabel1[[#This Row],[Seere, Total]]</f>
        <v>26.805</v>
      </c>
    </row>
    <row r="32" spans="1:16" x14ac:dyDescent="0.3">
      <c r="A32" s="12">
        <v>43022</v>
      </c>
      <c r="B32" s="4">
        <v>31</v>
      </c>
      <c r="C32" t="s">
        <v>10</v>
      </c>
      <c r="D32" t="s">
        <v>7</v>
      </c>
      <c r="E32" t="s">
        <v>13</v>
      </c>
      <c r="F32" t="s">
        <v>20</v>
      </c>
      <c r="G32" s="1">
        <v>158</v>
      </c>
      <c r="H32">
        <v>86</v>
      </c>
      <c r="I32" s="3">
        <f>115*60+35</f>
        <v>6935</v>
      </c>
      <c r="J32" s="5">
        <f>Tabel1[[#This Row],[Engagement (minutter)]]/Tabel1[[#This Row],[Seere, Total]]</f>
        <v>43.892405063291136</v>
      </c>
      <c r="M32" s="69"/>
      <c r="N32" s="69"/>
      <c r="O32" s="69"/>
      <c r="P32" s="69"/>
    </row>
    <row r="33" spans="1:16" x14ac:dyDescent="0.3">
      <c r="A33" s="12">
        <v>43022</v>
      </c>
      <c r="B33" s="4">
        <v>32</v>
      </c>
      <c r="C33" t="s">
        <v>6</v>
      </c>
      <c r="D33" t="s">
        <v>7</v>
      </c>
      <c r="E33" t="s">
        <v>15</v>
      </c>
      <c r="F33" t="s">
        <v>28</v>
      </c>
      <c r="G33" s="1">
        <v>171</v>
      </c>
      <c r="H33">
        <v>75</v>
      </c>
      <c r="I33" s="3">
        <f>98*60+42</f>
        <v>5922</v>
      </c>
      <c r="J33" s="5">
        <f>Tabel1[[#This Row],[Engagement (minutter)]]/Tabel1[[#This Row],[Seere, Total]]</f>
        <v>34.631578947368418</v>
      </c>
    </row>
    <row r="34" spans="1:16" x14ac:dyDescent="0.3">
      <c r="A34" s="12">
        <v>43044</v>
      </c>
      <c r="B34" s="4">
        <v>33</v>
      </c>
      <c r="C34" t="s">
        <v>6</v>
      </c>
      <c r="D34" t="s">
        <v>7</v>
      </c>
      <c r="E34" t="s">
        <v>18</v>
      </c>
      <c r="F34" t="s">
        <v>15</v>
      </c>
      <c r="G34" s="1">
        <v>246</v>
      </c>
      <c r="H34">
        <v>111</v>
      </c>
      <c r="I34" s="3">
        <f>174*60+21</f>
        <v>10461</v>
      </c>
      <c r="J34" s="5">
        <f>Tabel1[[#This Row],[Engagement (minutter)]]/Tabel1[[#This Row],[Seere, Total]]</f>
        <v>42.524390243902438</v>
      </c>
    </row>
    <row r="35" spans="1:16" x14ac:dyDescent="0.3">
      <c r="A35" s="12">
        <v>43049</v>
      </c>
      <c r="B35" s="4">
        <v>34</v>
      </c>
      <c r="C35" t="s">
        <v>6</v>
      </c>
      <c r="D35" t="s">
        <v>7</v>
      </c>
      <c r="E35" t="s">
        <v>16</v>
      </c>
      <c r="F35" t="s">
        <v>18</v>
      </c>
      <c r="G35" s="1">
        <v>177</v>
      </c>
      <c r="H35">
        <v>84</v>
      </c>
      <c r="I35" s="3">
        <f>96*60+47</f>
        <v>5807</v>
      </c>
      <c r="J35" s="5">
        <f>Tabel1[[#This Row],[Engagement (minutter)]]/Tabel1[[#This Row],[Seere, Total]]</f>
        <v>32.807909604519772</v>
      </c>
    </row>
    <row r="36" spans="1:16" x14ac:dyDescent="0.3">
      <c r="A36" s="12">
        <v>43049</v>
      </c>
      <c r="B36" s="4">
        <v>35</v>
      </c>
      <c r="C36" t="s">
        <v>10</v>
      </c>
      <c r="D36" t="s">
        <v>7</v>
      </c>
      <c r="E36" t="s">
        <v>14</v>
      </c>
      <c r="F36" t="s">
        <v>29</v>
      </c>
      <c r="G36" s="1">
        <v>110</v>
      </c>
      <c r="H36">
        <v>62</v>
      </c>
      <c r="I36" s="3">
        <f>87*60+29</f>
        <v>5249</v>
      </c>
      <c r="J36" s="5">
        <f>Tabel1[[#This Row],[Engagement (minutter)]]/Tabel1[[#This Row],[Seere, Total]]</f>
        <v>47.718181818181819</v>
      </c>
    </row>
    <row r="37" spans="1:16" x14ac:dyDescent="0.3">
      <c r="A37" s="12">
        <v>43050</v>
      </c>
      <c r="B37" s="4">
        <v>36</v>
      </c>
      <c r="C37" t="s">
        <v>10</v>
      </c>
      <c r="D37" t="s">
        <v>7</v>
      </c>
      <c r="E37" t="s">
        <v>20</v>
      </c>
      <c r="F37" t="s">
        <v>21</v>
      </c>
      <c r="G37" s="1">
        <v>100</v>
      </c>
      <c r="H37">
        <v>60</v>
      </c>
      <c r="I37" s="3">
        <f>48*60+59</f>
        <v>2939</v>
      </c>
      <c r="J37" s="5">
        <f>Tabel1[[#This Row],[Engagement (minutter)]]/Tabel1[[#This Row],[Seere, Total]]</f>
        <v>29.39</v>
      </c>
    </row>
    <row r="38" spans="1:16" x14ac:dyDescent="0.3">
      <c r="A38" s="12">
        <v>43051</v>
      </c>
      <c r="B38" s="4">
        <v>37</v>
      </c>
      <c r="C38" t="s">
        <v>6</v>
      </c>
      <c r="D38" t="s">
        <v>7</v>
      </c>
      <c r="E38" t="s">
        <v>9</v>
      </c>
      <c r="F38" t="s">
        <v>8</v>
      </c>
      <c r="G38" s="1">
        <v>204</v>
      </c>
      <c r="H38">
        <v>112</v>
      </c>
      <c r="I38" s="3">
        <f>151*60+7</f>
        <v>9067</v>
      </c>
      <c r="J38" s="5">
        <f>Tabel1[[#This Row],[Engagement (minutter)]]/Tabel1[[#This Row],[Seere, Total]]</f>
        <v>44.446078431372548</v>
      </c>
    </row>
    <row r="39" spans="1:16" x14ac:dyDescent="0.3">
      <c r="A39" s="12">
        <v>43055</v>
      </c>
      <c r="B39" s="4">
        <v>38</v>
      </c>
      <c r="C39" t="s">
        <v>10</v>
      </c>
      <c r="D39" t="s">
        <v>7</v>
      </c>
      <c r="E39" t="s">
        <v>22</v>
      </c>
      <c r="F39" t="s">
        <v>20</v>
      </c>
      <c r="G39" s="1">
        <v>124</v>
      </c>
      <c r="H39">
        <v>73</v>
      </c>
      <c r="I39" s="3">
        <f>100*60+27</f>
        <v>6027</v>
      </c>
      <c r="J39" s="5">
        <f>Tabel1[[#This Row],[Engagement (minutter)]]/Tabel1[[#This Row],[Seere, Total]]</f>
        <v>48.604838709677416</v>
      </c>
    </row>
    <row r="40" spans="1:16" x14ac:dyDescent="0.3">
      <c r="A40" s="12">
        <v>43056</v>
      </c>
      <c r="B40" s="4">
        <v>39</v>
      </c>
      <c r="C40" t="s">
        <v>6</v>
      </c>
      <c r="D40" t="s">
        <v>7</v>
      </c>
      <c r="E40" t="s">
        <v>19</v>
      </c>
      <c r="F40" t="s">
        <v>9</v>
      </c>
      <c r="G40" s="1">
        <v>156</v>
      </c>
      <c r="H40">
        <v>97</v>
      </c>
      <c r="I40" s="3">
        <f>109*60+36</f>
        <v>6576</v>
      </c>
      <c r="J40" s="5">
        <f>Tabel1[[#This Row],[Engagement (minutter)]]/Tabel1[[#This Row],[Seere, Total]]</f>
        <v>42.153846153846153</v>
      </c>
    </row>
    <row r="41" spans="1:16" x14ac:dyDescent="0.3">
      <c r="A41" s="12">
        <v>43058</v>
      </c>
      <c r="B41" s="4">
        <v>40</v>
      </c>
      <c r="C41" t="s">
        <v>10</v>
      </c>
      <c r="D41" t="s">
        <v>7</v>
      </c>
      <c r="E41" t="s">
        <v>22</v>
      </c>
      <c r="F41" t="s">
        <v>14</v>
      </c>
      <c r="G41" s="1">
        <v>116</v>
      </c>
      <c r="H41">
        <v>66</v>
      </c>
      <c r="I41" s="3">
        <f>80*60+29</f>
        <v>4829</v>
      </c>
      <c r="J41" s="5">
        <f>Tabel1[[#This Row],[Engagement (minutter)]]/Tabel1[[#This Row],[Seere, Total]]</f>
        <v>41.629310344827587</v>
      </c>
    </row>
    <row r="42" spans="1:16" x14ac:dyDescent="0.3">
      <c r="A42" s="12">
        <v>43079</v>
      </c>
      <c r="B42" s="4">
        <v>41</v>
      </c>
      <c r="C42" t="s">
        <v>10</v>
      </c>
      <c r="D42" t="s">
        <v>7</v>
      </c>
      <c r="E42" t="s">
        <v>29</v>
      </c>
      <c r="F42" t="s">
        <v>21</v>
      </c>
      <c r="G42" s="1">
        <v>106</v>
      </c>
      <c r="H42">
        <v>57</v>
      </c>
      <c r="I42" s="3">
        <f>82*60+25</f>
        <v>4945</v>
      </c>
      <c r="J42" s="5">
        <f>Tabel1[[#This Row],[Engagement (minutter)]]/Tabel1[[#This Row],[Seere, Total]]</f>
        <v>46.650943396226417</v>
      </c>
    </row>
    <row r="43" spans="1:16" x14ac:dyDescent="0.3">
      <c r="A43" s="12">
        <v>43113</v>
      </c>
      <c r="B43" s="4">
        <v>42</v>
      </c>
      <c r="C43" t="s">
        <v>6</v>
      </c>
      <c r="D43" t="s">
        <v>7</v>
      </c>
      <c r="E43" t="s">
        <v>19</v>
      </c>
      <c r="F43" t="s">
        <v>16</v>
      </c>
      <c r="G43" s="1">
        <v>206</v>
      </c>
      <c r="H43">
        <v>114</v>
      </c>
      <c r="I43" s="3">
        <f>128*60+14</f>
        <v>7694</v>
      </c>
      <c r="J43" s="5">
        <f>Tabel1[[#This Row],[Engagement (minutter)]]/Tabel1[[#This Row],[Seere, Total]]</f>
        <v>37.349514563106794</v>
      </c>
      <c r="M43" s="69"/>
      <c r="N43" s="69"/>
      <c r="O43" s="69"/>
      <c r="P43" s="69"/>
    </row>
    <row r="44" spans="1:16" x14ac:dyDescent="0.3">
      <c r="A44" s="12">
        <v>43114</v>
      </c>
      <c r="B44" s="4">
        <v>43</v>
      </c>
      <c r="C44" t="s">
        <v>10</v>
      </c>
      <c r="D44" t="s">
        <v>7</v>
      </c>
      <c r="E44" t="s">
        <v>12</v>
      </c>
      <c r="F44" t="s">
        <v>11</v>
      </c>
      <c r="G44" s="1">
        <v>274</v>
      </c>
      <c r="H44">
        <v>124</v>
      </c>
      <c r="I44" s="3">
        <f>258*60+25</f>
        <v>15505</v>
      </c>
      <c r="J44" s="5">
        <f>Tabel1[[#This Row],[Engagement (minutter)]]/Tabel1[[#This Row],[Seere, Total]]</f>
        <v>56.587591240875909</v>
      </c>
    </row>
    <row r="45" spans="1:16" x14ac:dyDescent="0.3">
      <c r="A45" s="12">
        <v>43120</v>
      </c>
      <c r="B45" s="4">
        <v>44</v>
      </c>
      <c r="C45" t="s">
        <v>6</v>
      </c>
      <c r="D45" t="s">
        <v>7</v>
      </c>
      <c r="E45" t="s">
        <v>28</v>
      </c>
      <c r="F45" t="s">
        <v>8</v>
      </c>
      <c r="G45" s="1">
        <v>85</v>
      </c>
      <c r="H45">
        <v>53</v>
      </c>
      <c r="I45" s="3">
        <f>53*60+1</f>
        <v>3181</v>
      </c>
      <c r="J45" s="5">
        <f>Tabel1[[#This Row],[Engagement (minutter)]]/Tabel1[[#This Row],[Seere, Total]]</f>
        <v>37.423529411764704</v>
      </c>
    </row>
    <row r="46" spans="1:16" x14ac:dyDescent="0.3">
      <c r="A46" s="12">
        <v>43123</v>
      </c>
      <c r="B46" s="4">
        <v>45</v>
      </c>
      <c r="C46" t="s">
        <v>10</v>
      </c>
      <c r="D46" t="s">
        <v>7</v>
      </c>
      <c r="E46" t="s">
        <v>20</v>
      </c>
      <c r="F46" t="s">
        <v>22</v>
      </c>
      <c r="G46" s="1">
        <v>117</v>
      </c>
      <c r="H46">
        <v>63</v>
      </c>
      <c r="I46" s="3">
        <f>98*60+53</f>
        <v>5933</v>
      </c>
      <c r="J46" s="5">
        <f>Tabel1[[#This Row],[Engagement (minutter)]]/Tabel1[[#This Row],[Seere, Total]]</f>
        <v>50.70940170940171</v>
      </c>
    </row>
    <row r="47" spans="1:16" x14ac:dyDescent="0.3">
      <c r="A47" s="12">
        <v>43141</v>
      </c>
      <c r="B47" s="4">
        <v>46</v>
      </c>
      <c r="C47" t="s">
        <v>10</v>
      </c>
      <c r="D47" t="s">
        <v>7</v>
      </c>
      <c r="E47" t="s">
        <v>13</v>
      </c>
      <c r="F47" t="s">
        <v>29</v>
      </c>
      <c r="G47" s="1">
        <v>102</v>
      </c>
      <c r="H47">
        <v>57</v>
      </c>
      <c r="I47" s="3">
        <f>56*60+4</f>
        <v>3364</v>
      </c>
      <c r="J47" s="5">
        <f>Tabel1[[#This Row],[Engagement (minutter)]]/Tabel1[[#This Row],[Seere, Total]]</f>
        <v>32.980392156862742</v>
      </c>
    </row>
    <row r="48" spans="1:16" x14ac:dyDescent="0.3">
      <c r="A48" s="12">
        <v>43141</v>
      </c>
      <c r="B48" s="4">
        <v>47</v>
      </c>
      <c r="C48" t="s">
        <v>6</v>
      </c>
      <c r="D48" t="s">
        <v>7</v>
      </c>
      <c r="E48" t="s">
        <v>15</v>
      </c>
      <c r="F48" t="s">
        <v>18</v>
      </c>
      <c r="G48" s="1">
        <v>160</v>
      </c>
      <c r="H48">
        <v>92</v>
      </c>
      <c r="I48" s="3">
        <f>110*60+43</f>
        <v>6643</v>
      </c>
      <c r="J48" s="5">
        <f>Tabel1[[#This Row],[Engagement (minutter)]]/Tabel1[[#This Row],[Seere, Total]]</f>
        <v>41.518749999999997</v>
      </c>
    </row>
    <row r="49" spans="1:10" x14ac:dyDescent="0.3">
      <c r="A49" s="12">
        <v>43142</v>
      </c>
      <c r="B49" s="4">
        <v>48</v>
      </c>
      <c r="C49" t="s">
        <v>6</v>
      </c>
      <c r="D49" t="s">
        <v>7</v>
      </c>
      <c r="E49" t="s">
        <v>16</v>
      </c>
      <c r="F49" t="s">
        <v>8</v>
      </c>
      <c r="G49" s="1">
        <v>318</v>
      </c>
      <c r="H49">
        <v>169</v>
      </c>
      <c r="I49" s="3">
        <f>281*60+42</f>
        <v>16902</v>
      </c>
      <c r="J49" s="5">
        <f>Tabel1[[#This Row],[Engagement (minutter)]]/Tabel1[[#This Row],[Seere, Total]]</f>
        <v>53.150943396226417</v>
      </c>
    </row>
    <row r="50" spans="1:10" x14ac:dyDescent="0.3">
      <c r="A50" s="12">
        <v>43142</v>
      </c>
      <c r="B50" s="4">
        <v>49</v>
      </c>
      <c r="C50" t="s">
        <v>10</v>
      </c>
      <c r="D50" t="s">
        <v>7</v>
      </c>
      <c r="E50" t="s">
        <v>14</v>
      </c>
      <c r="F50" t="s">
        <v>22</v>
      </c>
      <c r="G50" s="1">
        <v>210</v>
      </c>
      <c r="H50">
        <v>112</v>
      </c>
      <c r="I50" s="3">
        <f>229*60+52</f>
        <v>13792</v>
      </c>
      <c r="J50" s="5">
        <f>Tabel1[[#This Row],[Engagement (minutter)]]/Tabel1[[#This Row],[Seere, Total]]</f>
        <v>65.67619047619047</v>
      </c>
    </row>
    <row r="51" spans="1:10" x14ac:dyDescent="0.3">
      <c r="A51" s="12">
        <v>43155</v>
      </c>
      <c r="B51" s="4">
        <v>50</v>
      </c>
      <c r="C51" t="s">
        <v>6</v>
      </c>
      <c r="D51" t="s">
        <v>7</v>
      </c>
      <c r="E51" t="s">
        <v>9</v>
      </c>
      <c r="F51" t="s">
        <v>15</v>
      </c>
      <c r="G51" s="1">
        <v>169</v>
      </c>
      <c r="H51">
        <v>80</v>
      </c>
      <c r="I51" s="3">
        <f>101*60+9</f>
        <v>6069</v>
      </c>
      <c r="J51" s="5">
        <f>Tabel1[[#This Row],[Engagement (minutter)]]/Tabel1[[#This Row],[Seere, Total]]</f>
        <v>35.911242603550299</v>
      </c>
    </row>
    <row r="52" spans="1:10" x14ac:dyDescent="0.3">
      <c r="A52" s="12">
        <v>43162</v>
      </c>
      <c r="B52" s="4">
        <v>51</v>
      </c>
      <c r="C52" t="s">
        <v>10</v>
      </c>
      <c r="D52" t="s">
        <v>24</v>
      </c>
      <c r="E52" t="s">
        <v>22</v>
      </c>
      <c r="F52" t="s">
        <v>20</v>
      </c>
      <c r="G52" s="1">
        <v>140</v>
      </c>
      <c r="H52">
        <v>76</v>
      </c>
      <c r="I52" s="3">
        <f>77*60+26</f>
        <v>4646</v>
      </c>
      <c r="J52" s="5">
        <f>Tabel1[[#This Row],[Engagement (minutter)]]/Tabel1[[#This Row],[Seere, Total]]</f>
        <v>33.185714285714283</v>
      </c>
    </row>
    <row r="53" spans="1:10" x14ac:dyDescent="0.3">
      <c r="A53" s="12">
        <v>43167</v>
      </c>
      <c r="B53" s="4">
        <v>52</v>
      </c>
      <c r="C53" t="s">
        <v>6</v>
      </c>
      <c r="D53" t="s">
        <v>24</v>
      </c>
      <c r="E53" t="s">
        <v>8</v>
      </c>
      <c r="F53" t="s">
        <v>18</v>
      </c>
      <c r="G53" s="1">
        <v>179</v>
      </c>
      <c r="H53">
        <v>97</v>
      </c>
      <c r="I53" s="3">
        <f>113*60+20</f>
        <v>6800</v>
      </c>
      <c r="J53" s="5">
        <f>Tabel1[[#This Row],[Engagement (minutter)]]/Tabel1[[#This Row],[Seere, Total]]</f>
        <v>37.988826815642462</v>
      </c>
    </row>
    <row r="54" spans="1:10" x14ac:dyDescent="0.3">
      <c r="A54" s="12">
        <v>43168</v>
      </c>
      <c r="B54" s="4">
        <v>53</v>
      </c>
      <c r="C54" t="s">
        <v>6</v>
      </c>
      <c r="D54" t="s">
        <v>24</v>
      </c>
      <c r="E54" t="s">
        <v>9</v>
      </c>
      <c r="F54" t="s">
        <v>15</v>
      </c>
      <c r="G54" s="1">
        <v>161</v>
      </c>
      <c r="H54">
        <v>88</v>
      </c>
      <c r="I54" s="3">
        <f>116*60+23</f>
        <v>6983</v>
      </c>
      <c r="J54" s="5">
        <f>Tabel1[[#This Row],[Engagement (minutter)]]/Tabel1[[#This Row],[Seere, Total]]</f>
        <v>43.372670807453417</v>
      </c>
    </row>
    <row r="55" spans="1:10" x14ac:dyDescent="0.3">
      <c r="A55" s="12">
        <v>43178</v>
      </c>
      <c r="B55" s="4">
        <v>54</v>
      </c>
      <c r="C55" t="s">
        <v>10</v>
      </c>
      <c r="D55" t="s">
        <v>25</v>
      </c>
      <c r="E55" t="s">
        <v>11</v>
      </c>
      <c r="F55" t="s">
        <v>20</v>
      </c>
      <c r="G55" s="1">
        <v>280</v>
      </c>
      <c r="H55">
        <v>156</v>
      </c>
      <c r="I55" s="3">
        <f>250*60+19</f>
        <v>15019</v>
      </c>
      <c r="J55" s="5">
        <f>Tabel1[[#This Row],[Engagement (minutter)]]/Tabel1[[#This Row],[Seere, Total]]</f>
        <v>53.639285714285712</v>
      </c>
    </row>
    <row r="56" spans="1:10" x14ac:dyDescent="0.3">
      <c r="A56" s="12">
        <v>43180</v>
      </c>
      <c r="B56" s="4">
        <v>55</v>
      </c>
      <c r="C56" t="s">
        <v>6</v>
      </c>
      <c r="D56" t="s">
        <v>25</v>
      </c>
      <c r="E56" t="s">
        <v>19</v>
      </c>
      <c r="F56" t="s">
        <v>16</v>
      </c>
      <c r="G56" s="1">
        <v>341</v>
      </c>
      <c r="H56">
        <v>189</v>
      </c>
      <c r="I56" s="3">
        <f>207*60+27</f>
        <v>12447</v>
      </c>
      <c r="J56" s="5">
        <f>Tabel1[[#This Row],[Engagement (minutter)]]/Tabel1[[#This Row],[Seere, Total]]</f>
        <v>36.501466275659823</v>
      </c>
    </row>
    <row r="57" spans="1:10" x14ac:dyDescent="0.3">
      <c r="A57" s="12">
        <v>43182</v>
      </c>
      <c r="B57" s="4">
        <v>56</v>
      </c>
      <c r="C57" t="s">
        <v>10</v>
      </c>
      <c r="D57" t="s">
        <v>25</v>
      </c>
      <c r="E57" t="s">
        <v>12</v>
      </c>
      <c r="F57" t="s">
        <v>13</v>
      </c>
      <c r="G57" s="1">
        <v>190</v>
      </c>
      <c r="H57">
        <v>106</v>
      </c>
      <c r="I57" s="3">
        <f>127*60+10</f>
        <v>7630</v>
      </c>
      <c r="J57" s="5">
        <f>Tabel1[[#This Row],[Engagement (minutter)]]/Tabel1[[#This Row],[Seere, Total]]</f>
        <v>40.157894736842103</v>
      </c>
    </row>
    <row r="58" spans="1:10" x14ac:dyDescent="0.3">
      <c r="A58" s="12">
        <v>43183</v>
      </c>
      <c r="B58" s="4">
        <v>57</v>
      </c>
      <c r="C58" t="s">
        <v>6</v>
      </c>
      <c r="D58" t="s">
        <v>25</v>
      </c>
      <c r="E58" t="s">
        <v>9</v>
      </c>
      <c r="F58" t="s">
        <v>8</v>
      </c>
      <c r="G58" s="1">
        <v>270</v>
      </c>
      <c r="H58">
        <v>133</v>
      </c>
      <c r="I58" s="3">
        <f>200*60+35</f>
        <v>12035</v>
      </c>
      <c r="J58" s="5">
        <f>Tabel1[[#This Row],[Engagement (minutter)]]/Tabel1[[#This Row],[Seere, Total]]</f>
        <v>44.574074074074076</v>
      </c>
    </row>
    <row r="59" spans="1:10" x14ac:dyDescent="0.3">
      <c r="A59" s="12">
        <v>43197</v>
      </c>
      <c r="B59" s="4">
        <v>58</v>
      </c>
      <c r="C59" t="s">
        <v>10</v>
      </c>
      <c r="D59" t="s">
        <v>27</v>
      </c>
      <c r="E59" t="s">
        <v>12</v>
      </c>
      <c r="F59" t="s">
        <v>11</v>
      </c>
      <c r="G59" s="1">
        <v>285</v>
      </c>
      <c r="H59">
        <v>156</v>
      </c>
      <c r="I59" s="3">
        <f>249*60+53</f>
        <v>14993</v>
      </c>
      <c r="J59" s="5">
        <f>Tabel1[[#This Row],[Engagement (minutter)]]/Tabel1[[#This Row],[Seere, Total]]</f>
        <v>52.607017543859648</v>
      </c>
    </row>
    <row r="60" spans="1:10" x14ac:dyDescent="0.3">
      <c r="A60" s="12">
        <v>43198</v>
      </c>
      <c r="B60" s="4">
        <v>59</v>
      </c>
      <c r="C60" t="s">
        <v>6</v>
      </c>
      <c r="D60" t="s">
        <v>27</v>
      </c>
      <c r="E60" t="s">
        <v>8</v>
      </c>
      <c r="F60" t="s">
        <v>19</v>
      </c>
      <c r="G60" s="1">
        <v>391</v>
      </c>
      <c r="H60">
        <v>204</v>
      </c>
      <c r="I60" s="3">
        <f>337*60+34</f>
        <v>20254</v>
      </c>
      <c r="J60" s="5">
        <f>Tabel1[[#This Row],[Engagement (minutter)]]/Tabel1[[#This Row],[Seere, Total]]</f>
        <v>51.800511508951409</v>
      </c>
    </row>
    <row r="61" spans="1:10" x14ac:dyDescent="0.3">
      <c r="A61" s="12">
        <v>43199</v>
      </c>
      <c r="B61" s="4">
        <v>60</v>
      </c>
      <c r="C61" t="s">
        <v>10</v>
      </c>
      <c r="D61" t="s">
        <v>26</v>
      </c>
      <c r="E61" t="s">
        <v>13</v>
      </c>
      <c r="F61" t="s">
        <v>20</v>
      </c>
      <c r="G61" s="1">
        <v>247</v>
      </c>
      <c r="H61">
        <v>131</v>
      </c>
      <c r="I61" s="3">
        <f>206*60+47</f>
        <v>12407</v>
      </c>
      <c r="J61" s="5">
        <f>Tabel1[[#This Row],[Engagement (minutter)]]/Tabel1[[#This Row],[Seere, Total]]</f>
        <v>50.230769230769234</v>
      </c>
    </row>
    <row r="62" spans="1:10" x14ac:dyDescent="0.3">
      <c r="A62" s="12">
        <v>43200</v>
      </c>
      <c r="B62" s="4">
        <v>61</v>
      </c>
      <c r="C62" t="s">
        <v>6</v>
      </c>
      <c r="D62" t="s">
        <v>26</v>
      </c>
      <c r="E62" t="s">
        <v>9</v>
      </c>
      <c r="F62" t="s">
        <v>16</v>
      </c>
      <c r="G62" s="1">
        <v>369</v>
      </c>
      <c r="H62">
        <v>197</v>
      </c>
      <c r="I62" s="3">
        <f>286*60+22</f>
        <v>17182</v>
      </c>
      <c r="J62" s="5">
        <f>Tabel1[[#This Row],[Engagement (minutter)]]/Tabel1[[#This Row],[Seere, Total]]</f>
        <v>46.56368563685637</v>
      </c>
    </row>
    <row r="63" spans="1:10" x14ac:dyDescent="0.3">
      <c r="A63" s="12">
        <v>43201</v>
      </c>
      <c r="B63" s="4">
        <v>62</v>
      </c>
      <c r="C63" t="s">
        <v>10</v>
      </c>
      <c r="D63" t="s">
        <v>27</v>
      </c>
      <c r="E63" t="s">
        <v>11</v>
      </c>
      <c r="F63" t="s">
        <v>12</v>
      </c>
      <c r="G63" s="1">
        <v>343</v>
      </c>
      <c r="H63">
        <v>184</v>
      </c>
      <c r="I63" s="3">
        <f>308*60+47</f>
        <v>18527</v>
      </c>
      <c r="J63" s="5">
        <f>Tabel1[[#This Row],[Engagement (minutter)]]/Tabel1[[#This Row],[Seere, Total]]</f>
        <v>54.014577259475217</v>
      </c>
    </row>
    <row r="64" spans="1:10" ht="28.8" hidden="1" x14ac:dyDescent="0.3">
      <c r="A64" s="12">
        <v>43202</v>
      </c>
      <c r="B64" s="4">
        <v>63</v>
      </c>
      <c r="C64" s="6" t="s">
        <v>30</v>
      </c>
      <c r="D64" s="6" t="s">
        <v>27</v>
      </c>
      <c r="E64" s="6" t="s">
        <v>31</v>
      </c>
      <c r="F64" s="6" t="s">
        <v>32</v>
      </c>
      <c r="G64" s="1">
        <v>717</v>
      </c>
      <c r="H64">
        <v>311</v>
      </c>
      <c r="I64" s="3">
        <f>693*60+35</f>
        <v>41615</v>
      </c>
      <c r="J64" s="5">
        <f>Tabel1[[#This Row],[Engagement (minutter)]]/Tabel1[[#This Row],[Seere, Total]]</f>
        <v>58.040446304044629</v>
      </c>
    </row>
    <row r="65" spans="1:10" x14ac:dyDescent="0.3">
      <c r="A65" s="12">
        <v>43203</v>
      </c>
      <c r="B65" s="4">
        <v>64</v>
      </c>
      <c r="C65" t="s">
        <v>6</v>
      </c>
      <c r="D65" t="s">
        <v>26</v>
      </c>
      <c r="E65" t="s">
        <v>9</v>
      </c>
      <c r="F65" t="s">
        <v>16</v>
      </c>
      <c r="G65" s="1">
        <v>341</v>
      </c>
      <c r="H65">
        <v>199</v>
      </c>
      <c r="I65" s="3">
        <f>316*60+42</f>
        <v>19002</v>
      </c>
      <c r="J65" s="5">
        <f>Tabel1[[#This Row],[Engagement (minutter)]]/Tabel1[[#This Row],[Seere, Total]]</f>
        <v>55.724340175953081</v>
      </c>
    </row>
    <row r="66" spans="1:10" x14ac:dyDescent="0.3">
      <c r="A66" s="12">
        <v>43204</v>
      </c>
      <c r="B66" s="4">
        <v>65</v>
      </c>
      <c r="C66" t="s">
        <v>10</v>
      </c>
      <c r="D66" t="s">
        <v>27</v>
      </c>
      <c r="E66" t="s">
        <v>11</v>
      </c>
      <c r="F66" t="s">
        <v>12</v>
      </c>
      <c r="G66" s="1">
        <v>429</v>
      </c>
      <c r="H66">
        <v>234</v>
      </c>
      <c r="I66" s="3">
        <f>446*60+48</f>
        <v>26808</v>
      </c>
      <c r="J66" s="5">
        <f>Tabel1[[#This Row],[Engagement (minutter)]]/Tabel1[[#This Row],[Seere, Total]]</f>
        <v>62.489510489510486</v>
      </c>
    </row>
    <row r="67" spans="1:10" x14ac:dyDescent="0.3">
      <c r="A67" s="12">
        <v>43205</v>
      </c>
      <c r="B67" s="4">
        <v>66</v>
      </c>
      <c r="C67" t="s">
        <v>6</v>
      </c>
      <c r="D67" t="s">
        <v>27</v>
      </c>
      <c r="E67" t="s">
        <v>19</v>
      </c>
      <c r="F67" t="s">
        <v>8</v>
      </c>
      <c r="G67" s="1">
        <v>709</v>
      </c>
      <c r="H67">
        <v>410</v>
      </c>
      <c r="I67" s="3">
        <f>811*60+32</f>
        <v>48692</v>
      </c>
      <c r="J67" s="5">
        <f>Tabel1[[#This Row],[Engagement (minutter)]]/Tabel1[[#This Row],[Seere, Total]]</f>
        <v>68.677009873060655</v>
      </c>
    </row>
    <row r="68" spans="1:10" x14ac:dyDescent="0.3">
      <c r="A68" s="12">
        <v>43207</v>
      </c>
      <c r="B68" s="4">
        <v>67</v>
      </c>
      <c r="C68" t="s">
        <v>10</v>
      </c>
      <c r="D68" t="s">
        <v>27</v>
      </c>
      <c r="E68" t="s">
        <v>12</v>
      </c>
      <c r="F68" t="s">
        <v>11</v>
      </c>
      <c r="G68" s="1">
        <v>418</v>
      </c>
      <c r="H68">
        <v>265</v>
      </c>
      <c r="I68" s="3">
        <f>315*60+14</f>
        <v>18914</v>
      </c>
      <c r="J68" s="5">
        <f>Tabel1[[#This Row],[Engagement (minutter)]]/Tabel1[[#This Row],[Seere, Total]]</f>
        <v>45.248803827751196</v>
      </c>
    </row>
    <row r="69" spans="1:10" x14ac:dyDescent="0.3">
      <c r="A69" s="12">
        <v>43208</v>
      </c>
      <c r="B69" s="4">
        <v>68</v>
      </c>
      <c r="C69" t="s">
        <v>6</v>
      </c>
      <c r="D69" t="s">
        <v>27</v>
      </c>
      <c r="E69" t="s">
        <v>8</v>
      </c>
      <c r="F69" t="s">
        <v>19</v>
      </c>
      <c r="G69" s="1">
        <v>972</v>
      </c>
      <c r="H69">
        <v>592</v>
      </c>
      <c r="I69" s="3">
        <f>984*60+59</f>
        <v>59099</v>
      </c>
      <c r="J69" s="5">
        <f>Tabel1[[#This Row],[Engagement (minutter)]]/Tabel1[[#This Row],[Seere, Total]]</f>
        <v>60.80144032921811</v>
      </c>
    </row>
    <row r="70" spans="1:10" x14ac:dyDescent="0.3">
      <c r="A70" s="12">
        <v>43209</v>
      </c>
      <c r="B70" s="4">
        <v>69</v>
      </c>
      <c r="C70" t="s">
        <v>10</v>
      </c>
      <c r="D70" t="s">
        <v>27</v>
      </c>
      <c r="E70" t="s">
        <v>11</v>
      </c>
      <c r="F70" t="s">
        <v>12</v>
      </c>
      <c r="G70" s="1">
        <v>626</v>
      </c>
      <c r="H70">
        <v>347</v>
      </c>
      <c r="I70" s="3">
        <f>501*60+16</f>
        <v>30076</v>
      </c>
      <c r="J70" s="5">
        <f>Tabel1[[#This Row],[Engagement (minutter)]]/Tabel1[[#This Row],[Seere, Total]]</f>
        <v>48.04472843450479</v>
      </c>
    </row>
    <row r="71" spans="1:10" x14ac:dyDescent="0.3">
      <c r="A71" s="12">
        <v>43210</v>
      </c>
      <c r="B71" s="4">
        <v>70</v>
      </c>
      <c r="C71" t="s">
        <v>6</v>
      </c>
      <c r="D71" t="s">
        <v>27</v>
      </c>
      <c r="E71" t="s">
        <v>19</v>
      </c>
      <c r="F71" t="s">
        <v>8</v>
      </c>
      <c r="G71" s="1">
        <v>1005</v>
      </c>
      <c r="H71">
        <v>514</v>
      </c>
      <c r="I71" s="3">
        <f>756*60+32</f>
        <v>45392</v>
      </c>
      <c r="J71" s="5">
        <f>Tabel1[[#This Row],[Engagement (minutter)]]/Tabel1[[#This Row],[Seere, Total]]</f>
        <v>45.166169154228854</v>
      </c>
    </row>
    <row r="72" spans="1:10" x14ac:dyDescent="0.3">
      <c r="A72" s="12">
        <v>43376</v>
      </c>
      <c r="B72" s="4">
        <v>71</v>
      </c>
      <c r="C72" t="s">
        <v>6</v>
      </c>
      <c r="D72" t="s">
        <v>7</v>
      </c>
      <c r="E72" t="s">
        <v>23</v>
      </c>
      <c r="F72" t="s">
        <v>20</v>
      </c>
      <c r="G72" s="1">
        <v>225</v>
      </c>
      <c r="H72">
        <v>84</v>
      </c>
      <c r="I72" s="3">
        <f>135*60+33</f>
        <v>8133</v>
      </c>
      <c r="J72" s="5">
        <f>Tabel1[[#This Row],[Engagement (minutter)]]/Tabel1[[#This Row],[Seere, Total]]</f>
        <v>36.146666666666668</v>
      </c>
    </row>
    <row r="73" spans="1:10" x14ac:dyDescent="0.3">
      <c r="A73" s="12">
        <v>43379</v>
      </c>
      <c r="B73" s="4">
        <v>72</v>
      </c>
      <c r="C73" t="s">
        <v>6</v>
      </c>
      <c r="D73" t="s">
        <v>7</v>
      </c>
      <c r="E73" t="s">
        <v>16</v>
      </c>
      <c r="F73" t="s">
        <v>19</v>
      </c>
      <c r="G73" s="1">
        <v>344</v>
      </c>
      <c r="H73">
        <v>171</v>
      </c>
      <c r="I73" s="3">
        <f>240*60+18</f>
        <v>14418</v>
      </c>
      <c r="J73" s="5">
        <f>Tabel1[[#This Row],[Engagement (minutter)]]/Tabel1[[#This Row],[Seere, Total]]</f>
        <v>41.912790697674417</v>
      </c>
    </row>
    <row r="74" spans="1:10" x14ac:dyDescent="0.3">
      <c r="A74" s="12">
        <v>43380</v>
      </c>
      <c r="B74" s="4">
        <v>73</v>
      </c>
      <c r="C74" t="s">
        <v>10</v>
      </c>
      <c r="D74" t="s">
        <v>7</v>
      </c>
      <c r="E74" t="s">
        <v>22</v>
      </c>
      <c r="F74" t="s">
        <v>18</v>
      </c>
      <c r="G74" s="1">
        <v>205</v>
      </c>
      <c r="H74">
        <v>81</v>
      </c>
      <c r="I74" s="3">
        <f>101*60+30</f>
        <v>6090</v>
      </c>
      <c r="J74" s="5">
        <f>Tabel1[[#This Row],[Engagement (minutter)]]/Tabel1[[#This Row],[Seere, Total]]</f>
        <v>29.707317073170731</v>
      </c>
    </row>
    <row r="75" spans="1:10" x14ac:dyDescent="0.3">
      <c r="A75" s="12">
        <v>43384</v>
      </c>
      <c r="B75" s="4">
        <v>74</v>
      </c>
      <c r="C75" t="s">
        <v>6</v>
      </c>
      <c r="D75" t="s">
        <v>7</v>
      </c>
      <c r="E75" t="s">
        <v>8</v>
      </c>
      <c r="F75" t="s">
        <v>16</v>
      </c>
      <c r="G75" s="1">
        <v>273</v>
      </c>
      <c r="H75">
        <v>136</v>
      </c>
      <c r="I75" s="3">
        <f>227*60+33</f>
        <v>13653</v>
      </c>
      <c r="J75" s="5">
        <f>Tabel1[[#This Row],[Engagement (minutter)]]/Tabel1[[#This Row],[Seere, Total]]</f>
        <v>50.010989010989015</v>
      </c>
    </row>
    <row r="76" spans="1:10" x14ac:dyDescent="0.3">
      <c r="A76" s="12">
        <v>43387</v>
      </c>
      <c r="B76" s="4">
        <v>75</v>
      </c>
      <c r="C76" t="s">
        <v>6</v>
      </c>
      <c r="D76" t="s">
        <v>7</v>
      </c>
      <c r="E76" t="s">
        <v>18</v>
      </c>
      <c r="F76" t="s">
        <v>8</v>
      </c>
      <c r="G76" s="1">
        <v>318</v>
      </c>
      <c r="H76">
        <v>140</v>
      </c>
      <c r="I76" s="3">
        <f>235*60</f>
        <v>14100</v>
      </c>
      <c r="J76" s="5">
        <f>Tabel1[[#This Row],[Engagement (minutter)]]/Tabel1[[#This Row],[Seere, Total]]</f>
        <v>44.339622641509436</v>
      </c>
    </row>
    <row r="77" spans="1:10" x14ac:dyDescent="0.3">
      <c r="A77" s="12">
        <v>43387</v>
      </c>
      <c r="B77" s="4">
        <v>76</v>
      </c>
      <c r="C77" t="s">
        <v>10</v>
      </c>
      <c r="D77" t="s">
        <v>7</v>
      </c>
      <c r="E77" t="s">
        <v>18</v>
      </c>
      <c r="F77" t="s">
        <v>29</v>
      </c>
      <c r="G77" s="1">
        <v>218</v>
      </c>
      <c r="H77">
        <v>94</v>
      </c>
      <c r="I77" s="3">
        <f>173*60+28</f>
        <v>10408</v>
      </c>
      <c r="J77" s="5">
        <f>Tabel1[[#This Row],[Engagement (minutter)]]/Tabel1[[#This Row],[Seere, Total]]</f>
        <v>47.743119266055047</v>
      </c>
    </row>
    <row r="78" spans="1:10" x14ac:dyDescent="0.3">
      <c r="A78" s="12">
        <v>43397</v>
      </c>
      <c r="B78" s="4">
        <v>77</v>
      </c>
      <c r="C78" t="s">
        <v>10</v>
      </c>
      <c r="D78" t="s">
        <v>7</v>
      </c>
      <c r="E78" t="s">
        <v>29</v>
      </c>
      <c r="F78" t="s">
        <v>21</v>
      </c>
      <c r="G78" s="1">
        <v>203</v>
      </c>
      <c r="H78">
        <v>102</v>
      </c>
      <c r="I78" s="3">
        <f>185*60+29</f>
        <v>11129</v>
      </c>
      <c r="J78" s="5">
        <f>Tabel1[[#This Row],[Engagement (minutter)]]/Tabel1[[#This Row],[Seere, Total]]</f>
        <v>54.822660098522171</v>
      </c>
    </row>
    <row r="79" spans="1:10" x14ac:dyDescent="0.3">
      <c r="A79" s="12">
        <v>43398</v>
      </c>
      <c r="B79" s="4">
        <v>78</v>
      </c>
      <c r="C79" t="s">
        <v>6</v>
      </c>
      <c r="D79" t="s">
        <v>7</v>
      </c>
      <c r="E79" t="s">
        <v>9</v>
      </c>
      <c r="F79" t="s">
        <v>19</v>
      </c>
      <c r="G79" s="1">
        <v>292</v>
      </c>
      <c r="H79">
        <v>147</v>
      </c>
      <c r="I79" s="3">
        <f>238*60+20</f>
        <v>14300</v>
      </c>
      <c r="J79" s="5">
        <f>Tabel1[[#This Row],[Engagement (minutter)]]/Tabel1[[#This Row],[Seere, Total]]</f>
        <v>48.972602739726028</v>
      </c>
    </row>
    <row r="80" spans="1:10" x14ac:dyDescent="0.3">
      <c r="A80" s="13">
        <v>43401</v>
      </c>
      <c r="B80" s="4">
        <v>79</v>
      </c>
      <c r="C80" s="8" t="s">
        <v>6</v>
      </c>
      <c r="D80" t="s">
        <v>7</v>
      </c>
      <c r="E80" s="8" t="s">
        <v>20</v>
      </c>
      <c r="F80" s="8" t="s">
        <v>9</v>
      </c>
      <c r="G80" s="9">
        <v>88</v>
      </c>
      <c r="H80" s="8">
        <v>45</v>
      </c>
      <c r="I80" s="10">
        <f>41*60+42</f>
        <v>2502</v>
      </c>
      <c r="J80" s="11">
        <f>Tabel1[[#This Row],[Engagement (minutter)]]/Tabel1[[#This Row],[Seere, Total]]</f>
        <v>28.431818181818183</v>
      </c>
    </row>
    <row r="81" spans="1:10" x14ac:dyDescent="0.3">
      <c r="A81" s="12">
        <v>43405</v>
      </c>
      <c r="B81" s="4">
        <v>80</v>
      </c>
      <c r="C81" t="s">
        <v>10</v>
      </c>
      <c r="D81" t="s">
        <v>7</v>
      </c>
      <c r="E81" t="s">
        <v>11</v>
      </c>
      <c r="F81" t="s">
        <v>12</v>
      </c>
      <c r="G81" s="1">
        <v>299</v>
      </c>
      <c r="H81">
        <v>167</v>
      </c>
      <c r="I81" s="3">
        <f>273*60+50</f>
        <v>16430</v>
      </c>
      <c r="J81" s="5">
        <f>Tabel1[[#This Row],[Engagement (minutter)]]/Tabel1[[#This Row],[Seere, Total]]</f>
        <v>54.949832775919731</v>
      </c>
    </row>
    <row r="82" spans="1:10" x14ac:dyDescent="0.3">
      <c r="A82" s="12">
        <v>43406</v>
      </c>
      <c r="B82" s="4">
        <v>81</v>
      </c>
      <c r="C82" t="s">
        <v>6</v>
      </c>
      <c r="D82" t="s">
        <v>7</v>
      </c>
      <c r="E82" t="s">
        <v>19</v>
      </c>
      <c r="F82" t="s">
        <v>18</v>
      </c>
      <c r="G82" s="1">
        <v>195</v>
      </c>
      <c r="H82">
        <v>98</v>
      </c>
      <c r="I82" s="3">
        <f>109*60+53</f>
        <v>6593</v>
      </c>
      <c r="J82" s="5">
        <f>Tabel1[[#This Row],[Engagement (minutter)]]/Tabel1[[#This Row],[Seere, Total]]</f>
        <v>33.810256410256407</v>
      </c>
    </row>
    <row r="83" spans="1:10" x14ac:dyDescent="0.3">
      <c r="A83" s="12">
        <v>43406</v>
      </c>
      <c r="B83" s="4">
        <v>82</v>
      </c>
      <c r="C83" t="s">
        <v>10</v>
      </c>
      <c r="D83" t="s">
        <v>7</v>
      </c>
      <c r="E83" t="s">
        <v>19</v>
      </c>
      <c r="F83" t="s">
        <v>18</v>
      </c>
      <c r="G83" s="1">
        <v>139</v>
      </c>
      <c r="H83">
        <v>70</v>
      </c>
      <c r="I83" s="3">
        <f>86*60+45</f>
        <v>5205</v>
      </c>
      <c r="J83" s="5">
        <f>Tabel1[[#This Row],[Engagement (minutter)]]/Tabel1[[#This Row],[Seere, Total]]</f>
        <v>37.446043165467628</v>
      </c>
    </row>
    <row r="84" spans="1:10" x14ac:dyDescent="0.3">
      <c r="A84" s="12">
        <v>43407</v>
      </c>
      <c r="B84" s="4">
        <v>83</v>
      </c>
      <c r="C84" t="s">
        <v>6</v>
      </c>
      <c r="D84" t="s">
        <v>7</v>
      </c>
      <c r="E84" t="s">
        <v>28</v>
      </c>
      <c r="F84" t="s">
        <v>33</v>
      </c>
      <c r="G84" s="1">
        <v>206</v>
      </c>
      <c r="H84">
        <v>94</v>
      </c>
      <c r="I84" s="3">
        <f>121*60+31</f>
        <v>7291</v>
      </c>
      <c r="J84" s="5">
        <f>Tabel1[[#This Row],[Engagement (minutter)]]/Tabel1[[#This Row],[Seere, Total]]</f>
        <v>35.393203883495147</v>
      </c>
    </row>
    <row r="85" spans="1:10" x14ac:dyDescent="0.3">
      <c r="A85" s="12">
        <v>43415</v>
      </c>
      <c r="B85" s="4">
        <v>84</v>
      </c>
      <c r="C85" t="s">
        <v>10</v>
      </c>
      <c r="D85" t="s">
        <v>7</v>
      </c>
      <c r="E85" t="s">
        <v>21</v>
      </c>
      <c r="F85" t="s">
        <v>14</v>
      </c>
      <c r="G85" s="1">
        <v>250</v>
      </c>
      <c r="H85">
        <v>111</v>
      </c>
      <c r="I85" s="3">
        <f>161*60+56</f>
        <v>9716</v>
      </c>
      <c r="J85" s="5">
        <f>Tabel1[[#This Row],[Engagement (minutter)]]/Tabel1[[#This Row],[Seere, Total]]</f>
        <v>38.863999999999997</v>
      </c>
    </row>
    <row r="86" spans="1:10" x14ac:dyDescent="0.3">
      <c r="A86" s="12">
        <v>43415</v>
      </c>
      <c r="B86" s="4">
        <v>85</v>
      </c>
      <c r="C86" t="s">
        <v>6</v>
      </c>
      <c r="D86" t="s">
        <v>7</v>
      </c>
      <c r="E86" t="s">
        <v>21</v>
      </c>
      <c r="F86" t="s">
        <v>16</v>
      </c>
      <c r="G86" s="1">
        <v>344</v>
      </c>
      <c r="H86">
        <v>157</v>
      </c>
      <c r="I86" s="3">
        <f>238*60+36</f>
        <v>14316</v>
      </c>
      <c r="J86" s="5">
        <f>Tabel1[[#This Row],[Engagement (minutter)]]/Tabel1[[#This Row],[Seere, Total]]</f>
        <v>41.616279069767444</v>
      </c>
    </row>
    <row r="87" spans="1:10" x14ac:dyDescent="0.3">
      <c r="A87" s="12">
        <v>43422</v>
      </c>
      <c r="B87" s="4">
        <v>86</v>
      </c>
      <c r="C87" t="s">
        <v>6</v>
      </c>
      <c r="D87" t="s">
        <v>7</v>
      </c>
      <c r="E87" t="s">
        <v>33</v>
      </c>
      <c r="F87" t="s">
        <v>23</v>
      </c>
      <c r="G87" s="1">
        <v>241</v>
      </c>
      <c r="H87">
        <v>89</v>
      </c>
      <c r="I87" s="3">
        <f>165*60+39</f>
        <v>9939</v>
      </c>
      <c r="J87" s="5">
        <f>Tabel1[[#This Row],[Engagement (minutter)]]/Tabel1[[#This Row],[Seere, Total]]</f>
        <v>41.240663900414937</v>
      </c>
    </row>
    <row r="88" spans="1:10" x14ac:dyDescent="0.3">
      <c r="A88" s="12">
        <v>43435</v>
      </c>
      <c r="B88" s="4">
        <v>87</v>
      </c>
      <c r="C88" t="s">
        <v>10</v>
      </c>
      <c r="D88" t="s">
        <v>7</v>
      </c>
      <c r="E88" t="s">
        <v>12</v>
      </c>
      <c r="F88" t="s">
        <v>22</v>
      </c>
      <c r="G88" s="1">
        <v>176</v>
      </c>
      <c r="H88">
        <v>68</v>
      </c>
      <c r="I88" s="3">
        <f>114*60+51</f>
        <v>6891</v>
      </c>
      <c r="J88" s="5">
        <f>Tabel1[[#This Row],[Engagement (minutter)]]/Tabel1[[#This Row],[Seere, Total]]</f>
        <v>39.153409090909093</v>
      </c>
    </row>
    <row r="89" spans="1:10" x14ac:dyDescent="0.3">
      <c r="A89" s="12">
        <v>43482</v>
      </c>
      <c r="B89" s="4">
        <v>88</v>
      </c>
      <c r="C89" t="s">
        <v>10</v>
      </c>
      <c r="D89" t="s">
        <v>7</v>
      </c>
      <c r="E89" t="s">
        <v>19</v>
      </c>
      <c r="F89" t="s">
        <v>14</v>
      </c>
      <c r="G89" s="1">
        <v>190</v>
      </c>
      <c r="H89">
        <v>84</v>
      </c>
      <c r="I89" s="3">
        <f>95*60+25</f>
        <v>5725</v>
      </c>
      <c r="J89" s="5">
        <f>Tabel1[[#This Row],[Engagement (minutter)]]/Tabel1[[#This Row],[Seere, Total]]</f>
        <v>30.131578947368421</v>
      </c>
    </row>
    <row r="90" spans="1:10" x14ac:dyDescent="0.3">
      <c r="A90" s="12">
        <v>43482</v>
      </c>
      <c r="B90" s="4">
        <v>89</v>
      </c>
      <c r="C90" t="s">
        <v>6</v>
      </c>
      <c r="D90" t="s">
        <v>7</v>
      </c>
      <c r="E90" t="s">
        <v>19</v>
      </c>
      <c r="F90" t="s">
        <v>16</v>
      </c>
      <c r="G90" s="1">
        <v>287</v>
      </c>
      <c r="H90">
        <v>141</v>
      </c>
      <c r="I90" s="3">
        <f>215*60+31</f>
        <v>12931</v>
      </c>
      <c r="J90" s="5">
        <f>Tabel1[[#This Row],[Engagement (minutter)]]/Tabel1[[#This Row],[Seere, Total]]</f>
        <v>45.055749128919864</v>
      </c>
    </row>
    <row r="91" spans="1:10" x14ac:dyDescent="0.3">
      <c r="A91" s="12">
        <v>43485</v>
      </c>
      <c r="B91" s="4">
        <v>90</v>
      </c>
      <c r="C91" t="s">
        <v>6</v>
      </c>
      <c r="D91" t="s">
        <v>7</v>
      </c>
      <c r="E91" t="s">
        <v>16</v>
      </c>
      <c r="F91" t="s">
        <v>9</v>
      </c>
      <c r="G91" s="1">
        <v>362</v>
      </c>
      <c r="H91">
        <v>156</v>
      </c>
      <c r="I91" s="3">
        <f>279*60+48</f>
        <v>16788</v>
      </c>
      <c r="J91" s="5">
        <f>Tabel1[[#This Row],[Engagement (minutter)]]/Tabel1[[#This Row],[Seere, Total]]</f>
        <v>46.375690607734803</v>
      </c>
    </row>
    <row r="92" spans="1:10" x14ac:dyDescent="0.3">
      <c r="A92" s="13">
        <v>43485</v>
      </c>
      <c r="B92" s="4">
        <v>91</v>
      </c>
      <c r="C92" s="8" t="s">
        <v>6</v>
      </c>
      <c r="D92" t="s">
        <v>7</v>
      </c>
      <c r="E92" s="8" t="s">
        <v>20</v>
      </c>
      <c r="F92" s="8" t="s">
        <v>33</v>
      </c>
      <c r="G92" s="9">
        <v>134</v>
      </c>
      <c r="H92" s="8">
        <v>63</v>
      </c>
      <c r="I92" s="10">
        <f>71*60+21</f>
        <v>4281</v>
      </c>
      <c r="J92" s="11">
        <f>Tabel1[[#This Row],[Engagement (minutter)]]/Tabel1[[#This Row],[Seere, Total]]</f>
        <v>31.947761194029852</v>
      </c>
    </row>
    <row r="93" spans="1:10" x14ac:dyDescent="0.3">
      <c r="A93" s="12">
        <v>43485</v>
      </c>
      <c r="B93" s="4">
        <v>92</v>
      </c>
      <c r="C93" t="s">
        <v>10</v>
      </c>
      <c r="D93" t="s">
        <v>7</v>
      </c>
      <c r="E93" t="s">
        <v>14</v>
      </c>
      <c r="F93" t="s">
        <v>11</v>
      </c>
      <c r="G93" s="1">
        <v>239</v>
      </c>
      <c r="H93">
        <v>109</v>
      </c>
      <c r="I93" s="3">
        <f>208*60+19</f>
        <v>12499</v>
      </c>
      <c r="J93" s="5">
        <f>Tabel1[[#This Row],[Engagement (minutter)]]/Tabel1[[#This Row],[Seere, Total]]</f>
        <v>52.297071129707113</v>
      </c>
    </row>
    <row r="94" spans="1:10" x14ac:dyDescent="0.3">
      <c r="A94" s="12">
        <v>43493</v>
      </c>
      <c r="B94" s="4">
        <v>93</v>
      </c>
      <c r="C94" t="s">
        <v>10</v>
      </c>
      <c r="D94" t="s">
        <v>7</v>
      </c>
      <c r="E94" t="s">
        <v>21</v>
      </c>
      <c r="F94" t="s">
        <v>13</v>
      </c>
      <c r="G94" s="1">
        <v>165</v>
      </c>
      <c r="H94">
        <v>69</v>
      </c>
      <c r="I94" s="3">
        <f>74*60+16</f>
        <v>4456</v>
      </c>
      <c r="J94" s="5">
        <f>Tabel1[[#This Row],[Engagement (minutter)]]/Tabel1[[#This Row],[Seere, Total]]</f>
        <v>27.006060606060608</v>
      </c>
    </row>
    <row r="95" spans="1:10" x14ac:dyDescent="0.3">
      <c r="A95" s="12">
        <v>43493</v>
      </c>
      <c r="B95" s="4">
        <v>94</v>
      </c>
      <c r="C95" t="s">
        <v>6</v>
      </c>
      <c r="D95" t="s">
        <v>7</v>
      </c>
      <c r="E95" t="s">
        <v>21</v>
      </c>
      <c r="F95" t="s">
        <v>15</v>
      </c>
      <c r="G95" s="1">
        <v>274</v>
      </c>
      <c r="H95">
        <v>130</v>
      </c>
      <c r="I95" s="3">
        <f>240*60+26</f>
        <v>14426</v>
      </c>
      <c r="J95" s="5">
        <f>Tabel1[[#This Row],[Engagement (minutter)]]/Tabel1[[#This Row],[Seere, Total]]</f>
        <v>52.649635036496349</v>
      </c>
    </row>
    <row r="96" spans="1:10" x14ac:dyDescent="0.3">
      <c r="A96" s="12">
        <v>43496</v>
      </c>
      <c r="B96" s="4">
        <v>95</v>
      </c>
      <c r="C96" t="s">
        <v>6</v>
      </c>
      <c r="D96" t="s">
        <v>7</v>
      </c>
      <c r="E96" t="s">
        <v>18</v>
      </c>
      <c r="F96" t="s">
        <v>16</v>
      </c>
      <c r="G96" s="1">
        <v>293</v>
      </c>
      <c r="H96">
        <v>138</v>
      </c>
      <c r="I96" s="3">
        <f>222*60+36</f>
        <v>13356</v>
      </c>
      <c r="J96" s="5">
        <f>Tabel1[[#This Row],[Engagement (minutter)]]/Tabel1[[#This Row],[Seere, Total]]</f>
        <v>45.583617747440272</v>
      </c>
    </row>
    <row r="97" spans="1:10" x14ac:dyDescent="0.3">
      <c r="A97" s="12">
        <v>43496</v>
      </c>
      <c r="B97" s="4">
        <v>96</v>
      </c>
      <c r="C97" t="s">
        <v>10</v>
      </c>
      <c r="D97" t="s">
        <v>7</v>
      </c>
      <c r="E97" t="s">
        <v>18</v>
      </c>
      <c r="F97" t="s">
        <v>14</v>
      </c>
      <c r="G97" s="1">
        <v>234</v>
      </c>
      <c r="H97">
        <v>97</v>
      </c>
      <c r="I97" s="3">
        <f>139*60+44</f>
        <v>8384</v>
      </c>
      <c r="J97" s="5">
        <f>Tabel1[[#This Row],[Engagement (minutter)]]/Tabel1[[#This Row],[Seere, Total]]</f>
        <v>35.82905982905983</v>
      </c>
    </row>
    <row r="98" spans="1:10" x14ac:dyDescent="0.3">
      <c r="A98" s="12">
        <v>43499</v>
      </c>
      <c r="B98" s="4">
        <v>97</v>
      </c>
      <c r="C98" t="s">
        <v>6</v>
      </c>
      <c r="D98" t="s">
        <v>7</v>
      </c>
      <c r="E98" t="s">
        <v>23</v>
      </c>
      <c r="F98" t="s">
        <v>15</v>
      </c>
      <c r="G98" s="1">
        <v>205</v>
      </c>
      <c r="H98">
        <v>98</v>
      </c>
      <c r="I98" s="3">
        <f>157*60+7</f>
        <v>9427</v>
      </c>
      <c r="J98" s="5">
        <f>Tabel1[[#This Row],[Engagement (minutter)]]/Tabel1[[#This Row],[Seere, Total]]</f>
        <v>45.985365853658536</v>
      </c>
    </row>
    <row r="99" spans="1:10" x14ac:dyDescent="0.3">
      <c r="A99" s="12">
        <v>43505</v>
      </c>
      <c r="B99" s="4">
        <v>98</v>
      </c>
      <c r="C99" t="s">
        <v>6</v>
      </c>
      <c r="D99" t="s">
        <v>7</v>
      </c>
      <c r="E99" t="s">
        <v>33</v>
      </c>
      <c r="F99" t="s">
        <v>28</v>
      </c>
      <c r="G99" s="1">
        <v>161</v>
      </c>
      <c r="H99">
        <v>76</v>
      </c>
      <c r="I99" s="3">
        <f>101*60+56</f>
        <v>6116</v>
      </c>
      <c r="J99" s="5">
        <f>Tabel1[[#This Row],[Engagement (minutter)]]/Tabel1[[#This Row],[Seere, Total]]</f>
        <v>37.987577639751549</v>
      </c>
    </row>
    <row r="100" spans="1:10" x14ac:dyDescent="0.3">
      <c r="A100" s="14">
        <v>43513</v>
      </c>
      <c r="B100" s="4">
        <v>99</v>
      </c>
      <c r="C100" t="s">
        <v>10</v>
      </c>
      <c r="D100" t="s">
        <v>7</v>
      </c>
      <c r="E100" t="s">
        <v>29</v>
      </c>
      <c r="F100" t="s">
        <v>13</v>
      </c>
      <c r="G100" s="1">
        <v>172</v>
      </c>
      <c r="H100">
        <v>90</v>
      </c>
      <c r="I100" s="3">
        <f>101*60+31</f>
        <v>6091</v>
      </c>
      <c r="J100" s="5">
        <f>Tabel1[[#This Row],[Engagement (minutter)]]/Tabel1[[#This Row],[Seere, Total]]</f>
        <v>35.412790697674417</v>
      </c>
    </row>
    <row r="101" spans="1:10" x14ac:dyDescent="0.3">
      <c r="A101" s="14">
        <v>43517</v>
      </c>
      <c r="B101" s="4">
        <v>100</v>
      </c>
      <c r="C101" t="s">
        <v>10</v>
      </c>
      <c r="D101" t="s">
        <v>7</v>
      </c>
      <c r="E101" t="s">
        <v>11</v>
      </c>
      <c r="F101" t="s">
        <v>19</v>
      </c>
      <c r="G101" s="1">
        <v>229</v>
      </c>
      <c r="H101">
        <v>114</v>
      </c>
      <c r="I101" s="3">
        <f>186*60+5</f>
        <v>11165</v>
      </c>
      <c r="J101" s="5">
        <f>Tabel1[[#This Row],[Engagement (minutter)]]/Tabel1[[#This Row],[Seere, Total]]</f>
        <v>48.755458515283841</v>
      </c>
    </row>
    <row r="102" spans="1:10" x14ac:dyDescent="0.3">
      <c r="A102" s="14">
        <v>43527</v>
      </c>
      <c r="B102" s="4">
        <v>101</v>
      </c>
      <c r="C102" t="s">
        <v>6</v>
      </c>
      <c r="D102" t="s">
        <v>7</v>
      </c>
      <c r="E102" t="s">
        <v>20</v>
      </c>
      <c r="F102" t="s">
        <v>21</v>
      </c>
      <c r="G102" s="1">
        <v>158</v>
      </c>
      <c r="H102">
        <v>76</v>
      </c>
      <c r="I102" s="3">
        <f>115*60+3</f>
        <v>6903</v>
      </c>
      <c r="J102" s="5">
        <f>Tabel1[[#This Row],[Engagement (minutter)]]/Tabel1[[#This Row],[Seere, Total]]</f>
        <v>43.689873417721522</v>
      </c>
    </row>
    <row r="103" spans="1:10" x14ac:dyDescent="0.3">
      <c r="A103" s="14">
        <v>43529</v>
      </c>
      <c r="B103" s="4">
        <v>102</v>
      </c>
      <c r="C103" t="s">
        <v>10</v>
      </c>
      <c r="D103" t="s">
        <v>7</v>
      </c>
      <c r="E103" t="s">
        <v>22</v>
      </c>
      <c r="F103" t="s">
        <v>12</v>
      </c>
      <c r="G103" s="1">
        <v>150</v>
      </c>
      <c r="H103">
        <v>74</v>
      </c>
      <c r="I103" s="3">
        <f>124*60+18</f>
        <v>7458</v>
      </c>
      <c r="J103" s="5">
        <f>Tabel1[[#This Row],[Engagement (minutter)]]/Tabel1[[#This Row],[Seere, Total]]</f>
        <v>49.72</v>
      </c>
    </row>
    <row r="104" spans="1:10" x14ac:dyDescent="0.3">
      <c r="A104" s="14">
        <v>43530</v>
      </c>
      <c r="B104" s="4">
        <v>103</v>
      </c>
      <c r="C104" t="s">
        <v>6</v>
      </c>
      <c r="D104" t="s">
        <v>7</v>
      </c>
      <c r="E104" t="s">
        <v>16</v>
      </c>
      <c r="F104" t="s">
        <v>8</v>
      </c>
      <c r="G104" s="1">
        <v>218</v>
      </c>
      <c r="H104">
        <v>116</v>
      </c>
      <c r="I104" s="3">
        <f>140*60+35</f>
        <v>8435</v>
      </c>
      <c r="J104" s="5">
        <f>Tabel1[[#This Row],[Engagement (minutter)]]/Tabel1[[#This Row],[Seere, Total]]</f>
        <v>38.692660550458719</v>
      </c>
    </row>
    <row r="105" spans="1:10" x14ac:dyDescent="0.3">
      <c r="A105" s="14">
        <v>43531</v>
      </c>
      <c r="B105" s="4">
        <v>104</v>
      </c>
      <c r="C105" t="s">
        <v>6</v>
      </c>
      <c r="D105" t="s">
        <v>7</v>
      </c>
      <c r="E105" t="s">
        <v>9</v>
      </c>
      <c r="F105" t="s">
        <v>18</v>
      </c>
      <c r="G105" s="1">
        <v>231</v>
      </c>
      <c r="H105">
        <v>119</v>
      </c>
      <c r="I105" s="3">
        <f>138*60+15</f>
        <v>8295</v>
      </c>
      <c r="J105" s="5">
        <f>Tabel1[[#This Row],[Engagement (minutter)]]/Tabel1[[#This Row],[Seere, Total]]</f>
        <v>35.909090909090907</v>
      </c>
    </row>
    <row r="106" spans="1:10" x14ac:dyDescent="0.3">
      <c r="A106" s="14">
        <v>43533</v>
      </c>
      <c r="B106" s="4">
        <v>105</v>
      </c>
      <c r="C106" t="s">
        <v>10</v>
      </c>
      <c r="D106" t="s">
        <v>7</v>
      </c>
      <c r="E106" t="s">
        <v>19</v>
      </c>
      <c r="F106" t="s">
        <v>12</v>
      </c>
      <c r="G106" s="1">
        <v>171</v>
      </c>
      <c r="H106">
        <v>85</v>
      </c>
      <c r="I106" s="3">
        <f>113*60+36</f>
        <v>6816</v>
      </c>
      <c r="J106" s="5">
        <f>Tabel1[[#This Row],[Engagement (minutter)]]/Tabel1[[#This Row],[Seere, Total]]</f>
        <v>39.859649122807021</v>
      </c>
    </row>
    <row r="107" spans="1:10" x14ac:dyDescent="0.3">
      <c r="A107" s="14">
        <v>43534</v>
      </c>
      <c r="B107" s="4">
        <v>106</v>
      </c>
      <c r="C107" t="s">
        <v>10</v>
      </c>
      <c r="D107" t="s">
        <v>7</v>
      </c>
      <c r="E107" t="s">
        <v>22</v>
      </c>
      <c r="F107" t="s">
        <v>11</v>
      </c>
      <c r="G107" s="1">
        <v>160</v>
      </c>
      <c r="H107">
        <v>75</v>
      </c>
      <c r="I107" s="3">
        <f>112*60+22</f>
        <v>6742</v>
      </c>
      <c r="J107" s="5">
        <f>Tabel1[[#This Row],[Engagement (minutter)]]/Tabel1[[#This Row],[Seere, Total]]</f>
        <v>42.137500000000003</v>
      </c>
    </row>
    <row r="108" spans="1:10" x14ac:dyDescent="0.3">
      <c r="A108" s="14">
        <v>43540</v>
      </c>
      <c r="B108" s="4">
        <v>107</v>
      </c>
      <c r="C108" t="s">
        <v>10</v>
      </c>
      <c r="D108" t="s">
        <v>24</v>
      </c>
      <c r="E108" t="s">
        <v>14</v>
      </c>
      <c r="F108" t="s">
        <v>13</v>
      </c>
      <c r="G108" s="1">
        <v>149</v>
      </c>
      <c r="H108">
        <v>73</v>
      </c>
      <c r="I108" s="3">
        <f>74*50+46</f>
        <v>3746</v>
      </c>
      <c r="J108" s="5">
        <f>Tabel1[[#This Row],[Engagement (minutter)]]/Tabel1[[#This Row],[Seere, Total]]</f>
        <v>25.140939597315437</v>
      </c>
    </row>
    <row r="109" spans="1:10" x14ac:dyDescent="0.3">
      <c r="A109" s="14">
        <v>43540</v>
      </c>
      <c r="B109" s="4">
        <v>108</v>
      </c>
      <c r="C109" t="s">
        <v>6</v>
      </c>
      <c r="D109" t="s">
        <v>24</v>
      </c>
      <c r="E109" t="s">
        <v>8</v>
      </c>
      <c r="F109" t="s">
        <v>15</v>
      </c>
      <c r="G109" s="1">
        <v>258</v>
      </c>
      <c r="H109">
        <v>128</v>
      </c>
      <c r="I109" s="3">
        <f>195*60+58</f>
        <v>11758</v>
      </c>
      <c r="J109" s="5">
        <f>Tabel1[[#This Row],[Engagement (minutter)]]/Tabel1[[#This Row],[Seere, Total]]</f>
        <v>45.573643410852711</v>
      </c>
    </row>
    <row r="110" spans="1:10" x14ac:dyDescent="0.3">
      <c r="A110" s="14">
        <v>43550</v>
      </c>
      <c r="B110" s="4">
        <v>109</v>
      </c>
      <c r="C110" t="s">
        <v>10</v>
      </c>
      <c r="D110" t="s">
        <v>25</v>
      </c>
      <c r="E110" t="s">
        <v>22</v>
      </c>
      <c r="F110" t="s">
        <v>12</v>
      </c>
      <c r="G110" s="1">
        <v>251</v>
      </c>
      <c r="H110">
        <v>131</v>
      </c>
      <c r="I110" s="3">
        <f>215*60+34</f>
        <v>12934</v>
      </c>
      <c r="J110" s="5">
        <f>Tabel1[[#This Row],[Engagement (minutter)]]/Tabel1[[#This Row],[Seere, Total]]</f>
        <v>51.529880478087648</v>
      </c>
    </row>
    <row r="111" spans="1:10" x14ac:dyDescent="0.3">
      <c r="A111" s="14">
        <v>43552</v>
      </c>
      <c r="B111" s="4">
        <v>110</v>
      </c>
      <c r="C111" t="s">
        <v>6</v>
      </c>
      <c r="D111" t="s">
        <v>25</v>
      </c>
      <c r="E111" t="s">
        <v>8</v>
      </c>
      <c r="F111" t="s">
        <v>19</v>
      </c>
      <c r="G111" s="1">
        <v>538</v>
      </c>
      <c r="H111">
        <v>279</v>
      </c>
      <c r="I111" s="3">
        <f>417*60+58</f>
        <v>25078</v>
      </c>
      <c r="J111" s="5">
        <f>Tabel1[[#This Row],[Engagement (minutter)]]/Tabel1[[#This Row],[Seere, Total]]</f>
        <v>46.613382899628256</v>
      </c>
    </row>
    <row r="112" spans="1:10" x14ac:dyDescent="0.3">
      <c r="A112" s="14">
        <v>43554</v>
      </c>
      <c r="B112" s="4">
        <v>111</v>
      </c>
      <c r="C112" t="s">
        <v>10</v>
      </c>
      <c r="D112" t="s">
        <v>25</v>
      </c>
      <c r="E112" t="s">
        <v>11</v>
      </c>
      <c r="F112" t="s">
        <v>13</v>
      </c>
      <c r="G112" s="1">
        <v>245</v>
      </c>
      <c r="H112">
        <v>116</v>
      </c>
      <c r="I112" s="3">
        <f>206*60+49</f>
        <v>12409</v>
      </c>
      <c r="J112" s="5">
        <f>Tabel1[[#This Row],[Engagement (minutter)]]/Tabel1[[#This Row],[Seere, Total]]</f>
        <v>50.648979591836735</v>
      </c>
    </row>
    <row r="113" spans="1:10" x14ac:dyDescent="0.3">
      <c r="A113" s="14">
        <v>43555</v>
      </c>
      <c r="B113" s="4">
        <v>112</v>
      </c>
      <c r="C113" t="s">
        <v>6</v>
      </c>
      <c r="D113" t="s">
        <v>25</v>
      </c>
      <c r="E113" t="s">
        <v>16</v>
      </c>
      <c r="F113" t="s">
        <v>9</v>
      </c>
      <c r="G113" s="1">
        <v>374</v>
      </c>
      <c r="H113">
        <v>201</v>
      </c>
      <c r="I113" s="3">
        <f>218*60+32</f>
        <v>13112</v>
      </c>
      <c r="J113" s="5">
        <f>Tabel1[[#This Row],[Engagement (minutter)]]/Tabel1[[#This Row],[Seere, Total]]</f>
        <v>35.058823529411768</v>
      </c>
    </row>
    <row r="114" spans="1:10" x14ac:dyDescent="0.3">
      <c r="A114" s="14">
        <v>43557</v>
      </c>
      <c r="B114" s="4">
        <v>113</v>
      </c>
      <c r="C114" t="s">
        <v>10</v>
      </c>
      <c r="D114" t="s">
        <v>25</v>
      </c>
      <c r="E114" t="s">
        <v>13</v>
      </c>
      <c r="F114" t="s">
        <v>11</v>
      </c>
      <c r="G114" s="1">
        <v>416</v>
      </c>
      <c r="H114">
        <v>238</v>
      </c>
      <c r="I114" s="3">
        <f>265*60+5</f>
        <v>15905</v>
      </c>
      <c r="J114" s="5">
        <f>Tabel1[[#This Row],[Engagement (minutter)]]/Tabel1[[#This Row],[Seere, Total]]</f>
        <v>38.23317307692308</v>
      </c>
    </row>
    <row r="115" spans="1:10" x14ac:dyDescent="0.3">
      <c r="A115" s="14">
        <v>43559</v>
      </c>
      <c r="B115" s="4">
        <v>114</v>
      </c>
      <c r="C115" t="s">
        <v>6</v>
      </c>
      <c r="D115" t="s">
        <v>25</v>
      </c>
      <c r="E115" t="s">
        <v>8</v>
      </c>
      <c r="F115" t="s">
        <v>19</v>
      </c>
      <c r="G115" s="1">
        <v>367</v>
      </c>
      <c r="H115">
        <v>203</v>
      </c>
      <c r="I115" s="3">
        <f>236*60+38</f>
        <v>14198</v>
      </c>
      <c r="J115" s="5">
        <f>Tabel1[[#This Row],[Engagement (minutter)]]/Tabel1[[#This Row],[Seere, Total]]</f>
        <v>38.686648501362399</v>
      </c>
    </row>
    <row r="116" spans="1:10" x14ac:dyDescent="0.3">
      <c r="A116" s="14">
        <v>43567</v>
      </c>
      <c r="B116" s="4">
        <v>115</v>
      </c>
      <c r="C116" t="s">
        <v>10</v>
      </c>
      <c r="D116" t="s">
        <v>27</v>
      </c>
      <c r="E116" t="s">
        <v>12</v>
      </c>
      <c r="F116" t="s">
        <v>11</v>
      </c>
      <c r="G116" s="1">
        <v>425</v>
      </c>
      <c r="H116">
        <v>232</v>
      </c>
      <c r="I116" s="3">
        <f>362*60+28</f>
        <v>21748</v>
      </c>
      <c r="J116" s="5">
        <f>Tabel1[[#This Row],[Engagement (minutter)]]/Tabel1[[#This Row],[Seere, Total]]</f>
        <v>51.171764705882353</v>
      </c>
    </row>
    <row r="117" spans="1:10" x14ac:dyDescent="0.3">
      <c r="A117" s="14">
        <v>43568</v>
      </c>
      <c r="B117" s="4">
        <v>116</v>
      </c>
      <c r="C117" t="s">
        <v>6</v>
      </c>
      <c r="D117" t="s">
        <v>27</v>
      </c>
      <c r="E117" t="s">
        <v>19</v>
      </c>
      <c r="F117" t="s">
        <v>9</v>
      </c>
      <c r="G117" s="1">
        <v>454</v>
      </c>
      <c r="H117">
        <v>249</v>
      </c>
      <c r="I117" s="3">
        <f>286*60+25</f>
        <v>17185</v>
      </c>
      <c r="J117" s="5">
        <f>Tabel1[[#This Row],[Engagement (minutter)]]/Tabel1[[#This Row],[Seere, Total]]</f>
        <v>37.852422907488986</v>
      </c>
    </row>
    <row r="118" spans="1:10" x14ac:dyDescent="0.3">
      <c r="A118" s="14">
        <v>43569</v>
      </c>
      <c r="B118" s="4">
        <v>117</v>
      </c>
      <c r="C118" t="s">
        <v>10</v>
      </c>
      <c r="D118" t="s">
        <v>26</v>
      </c>
      <c r="E118" t="s">
        <v>22</v>
      </c>
      <c r="F118" t="s">
        <v>13</v>
      </c>
      <c r="G118" s="1">
        <v>274</v>
      </c>
      <c r="H118">
        <v>146</v>
      </c>
      <c r="I118" s="3">
        <f>157*60+16</f>
        <v>9436</v>
      </c>
      <c r="J118" s="5">
        <f>Tabel1[[#This Row],[Engagement (minutter)]]/Tabel1[[#This Row],[Seere, Total]]</f>
        <v>34.43795620437956</v>
      </c>
    </row>
    <row r="119" spans="1:10" x14ac:dyDescent="0.3">
      <c r="A119" s="14">
        <v>43570</v>
      </c>
      <c r="B119" s="4">
        <v>118</v>
      </c>
      <c r="C119" t="s">
        <v>6</v>
      </c>
      <c r="D119" t="s">
        <v>26</v>
      </c>
      <c r="E119" t="s">
        <v>8</v>
      </c>
      <c r="F119" t="s">
        <v>16</v>
      </c>
      <c r="G119" s="1">
        <v>332</v>
      </c>
      <c r="H119">
        <v>184</v>
      </c>
      <c r="I119" s="3">
        <f>304*60+31</f>
        <v>18271</v>
      </c>
      <c r="J119" s="5">
        <f>Tabel1[[#This Row],[Engagement (minutter)]]/Tabel1[[#This Row],[Seere, Total]]</f>
        <v>55.033132530120483</v>
      </c>
    </row>
    <row r="120" spans="1:10" x14ac:dyDescent="0.3">
      <c r="A120" s="14">
        <v>43571</v>
      </c>
      <c r="B120" s="4">
        <v>119</v>
      </c>
      <c r="C120" t="s">
        <v>10</v>
      </c>
      <c r="D120" t="s">
        <v>26</v>
      </c>
      <c r="E120" t="s">
        <v>13</v>
      </c>
      <c r="F120" t="s">
        <v>22</v>
      </c>
      <c r="G120" s="1">
        <v>339</v>
      </c>
      <c r="H120">
        <v>193</v>
      </c>
      <c r="I120" s="3">
        <f>209*60+21</f>
        <v>12561</v>
      </c>
      <c r="J120" s="5">
        <f>Tabel1[[#This Row],[Engagement (minutter)]]/Tabel1[[#This Row],[Seere, Total]]</f>
        <v>37.053097345132741</v>
      </c>
    </row>
    <row r="121" spans="1:10" x14ac:dyDescent="0.3">
      <c r="A121" s="14">
        <v>43573</v>
      </c>
      <c r="B121" s="4">
        <v>120</v>
      </c>
      <c r="C121" t="s">
        <v>10</v>
      </c>
      <c r="D121" t="s">
        <v>27</v>
      </c>
      <c r="E121" t="s">
        <v>11</v>
      </c>
      <c r="F121" t="s">
        <v>12</v>
      </c>
      <c r="G121" s="1">
        <v>386</v>
      </c>
      <c r="H121">
        <v>175</v>
      </c>
      <c r="I121" s="3">
        <f>340*60+56</f>
        <v>20456</v>
      </c>
      <c r="J121" s="5">
        <f>Tabel1[[#This Row],[Engagement (minutter)]]/Tabel1[[#This Row],[Seere, Total]]</f>
        <v>52.994818652849744</v>
      </c>
    </row>
    <row r="122" spans="1:10" x14ac:dyDescent="0.3">
      <c r="A122" s="14">
        <v>43574</v>
      </c>
      <c r="B122" s="4">
        <v>121</v>
      </c>
      <c r="C122" t="s">
        <v>6</v>
      </c>
      <c r="D122" t="s">
        <v>27</v>
      </c>
      <c r="E122" t="s">
        <v>9</v>
      </c>
      <c r="F122" t="s">
        <v>19</v>
      </c>
      <c r="G122" s="1">
        <v>342</v>
      </c>
      <c r="H122">
        <v>170</v>
      </c>
      <c r="I122" s="3">
        <f>202*60+34</f>
        <v>12154</v>
      </c>
      <c r="J122" s="5">
        <f>Tabel1[[#This Row],[Engagement (minutter)]]/Tabel1[[#This Row],[Seere, Total]]</f>
        <v>35.538011695906434</v>
      </c>
    </row>
    <row r="123" spans="1:10" x14ac:dyDescent="0.3">
      <c r="A123" s="14">
        <v>43577</v>
      </c>
      <c r="B123" s="4">
        <v>122</v>
      </c>
      <c r="C123" t="s">
        <v>10</v>
      </c>
      <c r="D123" t="s">
        <v>27</v>
      </c>
      <c r="E123" t="s">
        <v>12</v>
      </c>
      <c r="F123" t="s">
        <v>11</v>
      </c>
      <c r="G123" s="1">
        <v>407</v>
      </c>
      <c r="H123">
        <v>191</v>
      </c>
      <c r="I123" s="3">
        <f>298*60+33</f>
        <v>17913</v>
      </c>
      <c r="J123" s="5">
        <f>Tabel1[[#This Row],[Engagement (minutter)]]/Tabel1[[#This Row],[Seere, Total]]</f>
        <v>44.012285012285012</v>
      </c>
    </row>
    <row r="124" spans="1:10" x14ac:dyDescent="0.3">
      <c r="A124" s="14">
        <v>43578</v>
      </c>
      <c r="B124" s="4">
        <v>123</v>
      </c>
      <c r="C124" t="s">
        <v>6</v>
      </c>
      <c r="D124" t="s">
        <v>27</v>
      </c>
      <c r="E124" t="s">
        <v>19</v>
      </c>
      <c r="F124" t="s">
        <v>9</v>
      </c>
      <c r="G124" s="1">
        <v>609</v>
      </c>
      <c r="H124">
        <v>336</v>
      </c>
      <c r="I124" s="3">
        <f>482*60+31</f>
        <v>28951</v>
      </c>
      <c r="J124" s="5">
        <f>Tabel1[[#This Row],[Engagement (minutter)]]/Tabel1[[#This Row],[Seere, Total]]</f>
        <v>47.538587848932679</v>
      </c>
    </row>
    <row r="125" spans="1:10" x14ac:dyDescent="0.3">
      <c r="A125" s="14">
        <v>43580</v>
      </c>
      <c r="B125" s="4">
        <v>124</v>
      </c>
      <c r="C125" t="s">
        <v>10</v>
      </c>
      <c r="D125" t="s">
        <v>27</v>
      </c>
      <c r="E125" t="s">
        <v>11</v>
      </c>
      <c r="F125" t="s">
        <v>12</v>
      </c>
      <c r="G125" s="1">
        <v>435</v>
      </c>
      <c r="H125">
        <v>252</v>
      </c>
      <c r="I125" s="3">
        <f>285*60+13</f>
        <v>17113</v>
      </c>
      <c r="J125" s="5">
        <f>Tabel1[[#This Row],[Engagement (minutter)]]/Tabel1[[#This Row],[Seere, Total]]</f>
        <v>39.340229885057468</v>
      </c>
    </row>
    <row r="126" spans="1:10" x14ac:dyDescent="0.3">
      <c r="A126" s="14">
        <v>43581</v>
      </c>
      <c r="B126" s="4">
        <v>125</v>
      </c>
      <c r="C126" t="s">
        <v>6</v>
      </c>
      <c r="D126" t="s">
        <v>27</v>
      </c>
      <c r="E126" t="s">
        <v>9</v>
      </c>
      <c r="F126" t="s">
        <v>19</v>
      </c>
      <c r="G126" s="1">
        <v>828</v>
      </c>
      <c r="H126">
        <v>406</v>
      </c>
      <c r="I126" s="3">
        <f>761*60+3</f>
        <v>45663</v>
      </c>
      <c r="J126" s="5">
        <f>Tabel1[[#This Row],[Engagement (minutter)]]/Tabel1[[#This Row],[Seere, Total]]</f>
        <v>55.14855072463768</v>
      </c>
    </row>
    <row r="127" spans="1:10" x14ac:dyDescent="0.3">
      <c r="A127" s="1"/>
      <c r="B127" s="2"/>
      <c r="G127" s="1"/>
      <c r="I127" s="3"/>
      <c r="J127" s="2"/>
    </row>
    <row r="128" spans="1:10" x14ac:dyDescent="0.3">
      <c r="A128" s="1"/>
      <c r="B128" s="2"/>
      <c r="G128" s="1"/>
      <c r="I128" s="3"/>
      <c r="J128" s="2"/>
    </row>
    <row r="129" spans="1:10" x14ac:dyDescent="0.3">
      <c r="A129" s="1"/>
      <c r="B129" s="2"/>
      <c r="G129" s="1"/>
      <c r="I129" s="3"/>
      <c r="J129" s="2"/>
    </row>
    <row r="130" spans="1:10" x14ac:dyDescent="0.3">
      <c r="A130" s="1"/>
      <c r="B130" s="2"/>
      <c r="G130" s="1"/>
      <c r="I130" s="3"/>
      <c r="J130" s="2"/>
    </row>
    <row r="131" spans="1:10" x14ac:dyDescent="0.3">
      <c r="A131" s="1"/>
      <c r="B131" s="2"/>
      <c r="G131" s="1"/>
      <c r="I131" s="3"/>
      <c r="J131" s="2"/>
    </row>
    <row r="132" spans="1:10" x14ac:dyDescent="0.3">
      <c r="A132" s="1"/>
      <c r="B132" s="2"/>
      <c r="G132" s="1"/>
      <c r="I132" s="3"/>
      <c r="J132" s="2"/>
    </row>
    <row r="133" spans="1:10" x14ac:dyDescent="0.3">
      <c r="A133" s="1"/>
      <c r="B133" s="2"/>
      <c r="G133" s="1"/>
      <c r="I133" s="3"/>
      <c r="J133" s="2"/>
    </row>
    <row r="134" spans="1:10" x14ac:dyDescent="0.3">
      <c r="A134" s="1"/>
      <c r="B134" s="2"/>
      <c r="G134" s="1"/>
      <c r="I134" s="3"/>
      <c r="J134" s="2"/>
    </row>
    <row r="135" spans="1:10" x14ac:dyDescent="0.3">
      <c r="A135" s="1"/>
      <c r="B135" s="2"/>
      <c r="G135" s="1"/>
      <c r="I135" s="3"/>
      <c r="J135" s="2"/>
    </row>
    <row r="136" spans="1:10" x14ac:dyDescent="0.3">
      <c r="A136" s="1"/>
      <c r="B136" s="2"/>
      <c r="G136" s="1"/>
      <c r="I136" s="3"/>
      <c r="J136" s="2"/>
    </row>
    <row r="137" spans="1:10" x14ac:dyDescent="0.3">
      <c r="A137" s="1"/>
      <c r="B137" s="2"/>
      <c r="G137" s="1"/>
      <c r="I137" s="3"/>
      <c r="J137" s="2"/>
    </row>
    <row r="138" spans="1:10" x14ac:dyDescent="0.3">
      <c r="A138" s="1"/>
      <c r="B138" s="2"/>
      <c r="G138" s="1"/>
      <c r="I138" s="3"/>
      <c r="J138" s="2"/>
    </row>
    <row r="139" spans="1:10" x14ac:dyDescent="0.3">
      <c r="A139" s="1"/>
      <c r="B139" s="2"/>
      <c r="G139" s="1"/>
      <c r="I139" s="3"/>
      <c r="J139" s="2"/>
    </row>
    <row r="140" spans="1:10" x14ac:dyDescent="0.3">
      <c r="A140" s="1"/>
      <c r="B140" s="2"/>
      <c r="G140" s="1"/>
      <c r="I140" s="3"/>
      <c r="J140" s="2"/>
    </row>
    <row r="141" spans="1:10" x14ac:dyDescent="0.3">
      <c r="A141" s="1"/>
      <c r="B141" s="2"/>
      <c r="G141" s="1"/>
      <c r="I141" s="3"/>
      <c r="J141" s="2"/>
    </row>
    <row r="142" spans="1:10" x14ac:dyDescent="0.3">
      <c r="A142" s="1"/>
      <c r="B142" s="2"/>
      <c r="G142" s="1"/>
      <c r="I142" s="3"/>
      <c r="J142" s="2"/>
    </row>
    <row r="143" spans="1:10" x14ac:dyDescent="0.3">
      <c r="A143" s="1"/>
      <c r="B143" s="2"/>
      <c r="G143" s="1"/>
      <c r="I143" s="3"/>
      <c r="J143" s="2"/>
    </row>
    <row r="144" spans="1:10" x14ac:dyDescent="0.3">
      <c r="A144" s="1"/>
      <c r="B144" s="2"/>
      <c r="G144" s="1"/>
      <c r="I144" s="3"/>
      <c r="J144" s="2"/>
    </row>
    <row r="145" spans="1:10" x14ac:dyDescent="0.3">
      <c r="A145" s="1"/>
      <c r="B145" s="2"/>
      <c r="G145" s="1"/>
      <c r="I145" s="3"/>
      <c r="J145" s="2"/>
    </row>
    <row r="146" spans="1:10" x14ac:dyDescent="0.3">
      <c r="A146" s="1"/>
      <c r="B146" s="2"/>
      <c r="G146" s="1"/>
      <c r="I146" s="3"/>
      <c r="J146" s="2"/>
    </row>
    <row r="147" spans="1:10" x14ac:dyDescent="0.3">
      <c r="A147" s="1"/>
      <c r="B147" s="2"/>
      <c r="G147" s="1"/>
      <c r="I147" s="3"/>
      <c r="J147" s="2"/>
    </row>
    <row r="148" spans="1:10" x14ac:dyDescent="0.3">
      <c r="A148" s="1"/>
      <c r="B148" s="2"/>
      <c r="G148" s="1"/>
      <c r="I148" s="3"/>
      <c r="J148" s="2"/>
    </row>
    <row r="149" spans="1:10" x14ac:dyDescent="0.3">
      <c r="A149" s="1"/>
      <c r="B149" s="2"/>
      <c r="G149" s="1"/>
      <c r="I149" s="3"/>
      <c r="J149" s="2"/>
    </row>
    <row r="150" spans="1:10" x14ac:dyDescent="0.3">
      <c r="A150" s="1"/>
      <c r="B150" s="2"/>
      <c r="G150" s="1"/>
      <c r="I150" s="3"/>
      <c r="J150" s="2"/>
    </row>
    <row r="151" spans="1:10" x14ac:dyDescent="0.3">
      <c r="A151" s="1"/>
      <c r="B151" s="2"/>
      <c r="G151" s="1"/>
      <c r="I151" s="3"/>
      <c r="J151" s="2"/>
    </row>
    <row r="152" spans="1:10" x14ac:dyDescent="0.3">
      <c r="A152" s="1"/>
      <c r="B152" s="2"/>
      <c r="G152" s="1"/>
      <c r="I152" s="3"/>
      <c r="J152" s="2"/>
    </row>
    <row r="153" spans="1:10" x14ac:dyDescent="0.3">
      <c r="A153" s="1"/>
      <c r="B153" s="2"/>
      <c r="G153" s="1"/>
      <c r="I153" s="3"/>
      <c r="J153" s="2"/>
    </row>
    <row r="154" spans="1:10" x14ac:dyDescent="0.3">
      <c r="A154" s="1"/>
      <c r="B154" s="2"/>
      <c r="G154" s="1"/>
      <c r="I154" s="3"/>
      <c r="J154" s="2"/>
    </row>
    <row r="155" spans="1:10" x14ac:dyDescent="0.3">
      <c r="A155" s="1"/>
      <c r="B155" s="2"/>
      <c r="G155" s="1"/>
      <c r="I155" s="3"/>
      <c r="J155" s="2"/>
    </row>
    <row r="156" spans="1:10" x14ac:dyDescent="0.3">
      <c r="A156" s="1"/>
      <c r="B156" s="2"/>
      <c r="G156" s="1"/>
      <c r="I156" s="3"/>
      <c r="J156" s="2"/>
    </row>
    <row r="157" spans="1:10" x14ac:dyDescent="0.3">
      <c r="A157" s="1"/>
      <c r="B157" s="2"/>
      <c r="G157" s="1"/>
      <c r="I157" s="3"/>
      <c r="J157" s="2"/>
    </row>
    <row r="158" spans="1:10" x14ac:dyDescent="0.3">
      <c r="A158" s="1"/>
      <c r="B158" s="2"/>
      <c r="G158" s="1"/>
      <c r="I158" s="3"/>
      <c r="J158" s="2"/>
    </row>
    <row r="159" spans="1:10" x14ac:dyDescent="0.3">
      <c r="A159" s="1"/>
      <c r="B159" s="2"/>
      <c r="G159" s="1"/>
      <c r="I159" s="3"/>
      <c r="J159" s="2"/>
    </row>
    <row r="160" spans="1:10" x14ac:dyDescent="0.3">
      <c r="A160" s="1"/>
      <c r="B160" s="2"/>
      <c r="G160" s="1"/>
      <c r="I160" s="3"/>
      <c r="J160" s="2"/>
    </row>
    <row r="161" spans="1:10" x14ac:dyDescent="0.3">
      <c r="A161" s="1"/>
      <c r="B161" s="2"/>
      <c r="G161" s="1"/>
      <c r="I161" s="3"/>
      <c r="J161" s="2"/>
    </row>
    <row r="162" spans="1:10" x14ac:dyDescent="0.3">
      <c r="A162" s="1"/>
      <c r="B162" s="2"/>
      <c r="G162" s="1"/>
      <c r="I162" s="3"/>
      <c r="J162" s="2"/>
    </row>
    <row r="163" spans="1:10" x14ac:dyDescent="0.3">
      <c r="A163" s="1"/>
      <c r="B163" s="2"/>
      <c r="G163" s="1"/>
      <c r="I163" s="3"/>
      <c r="J163" s="2"/>
    </row>
    <row r="164" spans="1:10" x14ac:dyDescent="0.3">
      <c r="A164" s="1"/>
      <c r="B164" s="2"/>
      <c r="G164" s="1"/>
      <c r="I164" s="3"/>
      <c r="J164" s="2"/>
    </row>
    <row r="165" spans="1:10" x14ac:dyDescent="0.3">
      <c r="A165" s="1"/>
      <c r="B165" s="2"/>
      <c r="G165" s="1"/>
      <c r="I165" s="3"/>
      <c r="J165" s="2"/>
    </row>
    <row r="166" spans="1:10" x14ac:dyDescent="0.3">
      <c r="A166" s="1"/>
      <c r="B166" s="2"/>
      <c r="G166" s="1"/>
      <c r="I166" s="3"/>
      <c r="J166" s="2"/>
    </row>
    <row r="167" spans="1:10" x14ac:dyDescent="0.3">
      <c r="A167" s="1"/>
      <c r="B167" s="2"/>
      <c r="G167" s="1"/>
      <c r="I167" s="3"/>
      <c r="J167" s="2"/>
    </row>
    <row r="168" spans="1:10" x14ac:dyDescent="0.3">
      <c r="A168" s="1"/>
      <c r="B168" s="2"/>
      <c r="G168" s="1"/>
      <c r="I168" s="3"/>
      <c r="J168" s="2"/>
    </row>
    <row r="169" spans="1:10" x14ac:dyDescent="0.3">
      <c r="A169" s="1"/>
      <c r="B169" s="2"/>
      <c r="G169" s="1"/>
      <c r="I169" s="3"/>
      <c r="J169" s="2"/>
    </row>
    <row r="170" spans="1:10" x14ac:dyDescent="0.3">
      <c r="A170" s="1"/>
      <c r="B170" s="2"/>
      <c r="G170" s="1"/>
      <c r="I170" s="3"/>
      <c r="J170" s="2"/>
    </row>
    <row r="171" spans="1:10" x14ac:dyDescent="0.3">
      <c r="A171" s="1"/>
      <c r="B171" s="2"/>
      <c r="G171" s="1"/>
      <c r="I171" s="3"/>
      <c r="J171" s="2"/>
    </row>
    <row r="172" spans="1:10" x14ac:dyDescent="0.3">
      <c r="A172" s="1"/>
      <c r="B172" s="2"/>
      <c r="G172" s="1"/>
      <c r="I172" s="3"/>
      <c r="J172" s="2"/>
    </row>
    <row r="173" spans="1:10" x14ac:dyDescent="0.3">
      <c r="A173" s="1"/>
      <c r="B173" s="2"/>
      <c r="G173" s="1"/>
      <c r="I173" s="3"/>
      <c r="J173" s="2"/>
    </row>
    <row r="174" spans="1:10" x14ac:dyDescent="0.3">
      <c r="A174" s="1"/>
      <c r="B174" s="2"/>
      <c r="G174" s="1"/>
      <c r="I174" s="3"/>
      <c r="J174" s="2"/>
    </row>
    <row r="175" spans="1:10" x14ac:dyDescent="0.3">
      <c r="A175" s="1"/>
      <c r="B175" s="2"/>
      <c r="G175" s="1"/>
      <c r="I175" s="3"/>
      <c r="J175" s="2"/>
    </row>
    <row r="176" spans="1:10" x14ac:dyDescent="0.3">
      <c r="A176" s="1"/>
      <c r="B176" s="2"/>
      <c r="G176" s="1"/>
      <c r="I176" s="3"/>
      <c r="J176" s="2"/>
    </row>
    <row r="177" spans="1:10" x14ac:dyDescent="0.3">
      <c r="A177" s="1"/>
      <c r="B177" s="2"/>
      <c r="G177" s="1"/>
      <c r="I177" s="3"/>
      <c r="J177" s="2"/>
    </row>
    <row r="178" spans="1:10" x14ac:dyDescent="0.3">
      <c r="A178" s="1"/>
      <c r="B178" s="2"/>
      <c r="G178" s="1"/>
      <c r="I178" s="3"/>
      <c r="J178" s="2"/>
    </row>
    <row r="179" spans="1:10" x14ac:dyDescent="0.3">
      <c r="A179" s="1"/>
      <c r="B179" s="2"/>
      <c r="G179" s="1"/>
      <c r="I179" s="3"/>
      <c r="J179" s="2"/>
    </row>
    <row r="180" spans="1:10" x14ac:dyDescent="0.3">
      <c r="A180" s="1"/>
      <c r="B180" s="2"/>
      <c r="G180" s="1"/>
      <c r="I180" s="3"/>
      <c r="J180" s="2"/>
    </row>
    <row r="181" spans="1:10" x14ac:dyDescent="0.3">
      <c r="A181" s="1"/>
      <c r="B181" s="2"/>
      <c r="G181" s="1"/>
      <c r="I181" s="3"/>
      <c r="J181" s="2"/>
    </row>
    <row r="182" spans="1:10" x14ac:dyDescent="0.3">
      <c r="A182" s="1"/>
      <c r="B182" s="2"/>
      <c r="G182" s="1"/>
      <c r="I182" s="3"/>
      <c r="J182" s="2"/>
    </row>
    <row r="183" spans="1:10" x14ac:dyDescent="0.3">
      <c r="A183" s="1"/>
      <c r="B183" s="2"/>
      <c r="G183" s="1"/>
      <c r="I183" s="3"/>
      <c r="J183" s="2"/>
    </row>
    <row r="184" spans="1:10" x14ac:dyDescent="0.3">
      <c r="A184" s="1"/>
      <c r="B184" s="2"/>
      <c r="G184" s="1"/>
      <c r="I184" s="3"/>
      <c r="J184" s="2"/>
    </row>
    <row r="185" spans="1:10" x14ac:dyDescent="0.3">
      <c r="A185" s="1"/>
      <c r="B185" s="2"/>
      <c r="G185" s="1"/>
      <c r="I185" s="3"/>
      <c r="J185" s="2"/>
    </row>
    <row r="186" spans="1:10" x14ac:dyDescent="0.3">
      <c r="A186" s="1"/>
      <c r="B186" s="2"/>
      <c r="G186" s="1"/>
      <c r="I186" s="3"/>
      <c r="J186" s="2"/>
    </row>
    <row r="187" spans="1:10" x14ac:dyDescent="0.3">
      <c r="A187" s="1"/>
      <c r="B187" s="2"/>
      <c r="G187" s="1"/>
      <c r="I187" s="3"/>
      <c r="J187" s="2"/>
    </row>
    <row r="188" spans="1:10" x14ac:dyDescent="0.3">
      <c r="A188" s="1"/>
      <c r="B188" s="2"/>
      <c r="G188" s="1"/>
      <c r="I188" s="3"/>
      <c r="J188" s="2"/>
    </row>
    <row r="189" spans="1:10" x14ac:dyDescent="0.3">
      <c r="A189" s="1"/>
      <c r="B189" s="2"/>
      <c r="G189" s="1"/>
      <c r="I189" s="3"/>
      <c r="J189" s="2"/>
    </row>
    <row r="190" spans="1:10" x14ac:dyDescent="0.3">
      <c r="A190" s="1"/>
      <c r="B190" s="2"/>
      <c r="G190" s="1"/>
      <c r="I190" s="3"/>
      <c r="J190" s="2"/>
    </row>
    <row r="191" spans="1:10" x14ac:dyDescent="0.3">
      <c r="A191" s="1"/>
      <c r="B191" s="2"/>
      <c r="G191" s="1"/>
      <c r="I191" s="3"/>
      <c r="J191" s="2"/>
    </row>
    <row r="192" spans="1:10" x14ac:dyDescent="0.3">
      <c r="A192" s="1"/>
      <c r="B192" s="2"/>
      <c r="G192" s="1"/>
      <c r="I192" s="3"/>
      <c r="J192" s="2"/>
    </row>
    <row r="193" spans="1:10" x14ac:dyDescent="0.3">
      <c r="A193" s="1"/>
      <c r="B193" s="2"/>
      <c r="G193" s="1"/>
      <c r="I193" s="3"/>
      <c r="J193" s="2"/>
    </row>
    <row r="194" spans="1:10" x14ac:dyDescent="0.3">
      <c r="A194" s="1"/>
      <c r="B194" s="2"/>
      <c r="G194" s="1"/>
      <c r="I194" s="3"/>
      <c r="J194" s="2"/>
    </row>
    <row r="195" spans="1:10" x14ac:dyDescent="0.3">
      <c r="A195" s="1"/>
      <c r="B195" s="2"/>
      <c r="G195" s="1"/>
      <c r="I195" s="3"/>
      <c r="J195" s="2"/>
    </row>
    <row r="196" spans="1:10" x14ac:dyDescent="0.3">
      <c r="A196" s="1"/>
      <c r="B196" s="2"/>
      <c r="G196" s="1"/>
      <c r="I196" s="3"/>
      <c r="J196" s="2"/>
    </row>
    <row r="197" spans="1:10" x14ac:dyDescent="0.3">
      <c r="A197" s="1"/>
      <c r="B197" s="2"/>
      <c r="G197" s="1"/>
      <c r="I197" s="3"/>
      <c r="J197" s="2"/>
    </row>
  </sheetData>
  <mergeCells count="4">
    <mergeCell ref="M32:N32"/>
    <mergeCell ref="O32:P32"/>
    <mergeCell ref="M43:N43"/>
    <mergeCell ref="O43:P43"/>
  </mergeCells>
  <pageMargins left="0.7" right="0.7" top="0.75" bottom="0.75" header="0.3" footer="0.3"/>
  <pageSetup paperSize="9" orientation="portrait" horizontalDpi="1200" verticalDpi="1200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J22"/>
  <sheetViews>
    <sheetView topLeftCell="A2" workbookViewId="0">
      <selection activeCell="C21" sqref="C21"/>
    </sheetView>
  </sheetViews>
  <sheetFormatPr defaultRowHeight="14.4" x14ac:dyDescent="0.3"/>
  <cols>
    <col min="4" max="4" width="14.21875" customWidth="1"/>
    <col min="5" max="10" width="10.21875" customWidth="1"/>
  </cols>
  <sheetData>
    <row r="4" spans="4:10" ht="15" thickBot="1" x14ac:dyDescent="0.35">
      <c r="D4" s="15" t="s">
        <v>47</v>
      </c>
      <c r="E4" s="16"/>
      <c r="F4" s="16"/>
      <c r="G4" s="16"/>
      <c r="H4" s="16"/>
      <c r="I4" s="16"/>
      <c r="J4" s="17"/>
    </row>
    <row r="5" spans="4:10" ht="15" thickBot="1" x14ac:dyDescent="0.35">
      <c r="D5" s="28"/>
      <c r="E5" s="74" t="s">
        <v>38</v>
      </c>
      <c r="F5" s="74"/>
      <c r="G5" s="74"/>
      <c r="H5" s="70" t="s">
        <v>39</v>
      </c>
      <c r="I5" s="70"/>
      <c r="J5" s="71"/>
    </row>
    <row r="6" spans="4:10" ht="15" thickBot="1" x14ac:dyDescent="0.35">
      <c r="D6" s="21" t="s">
        <v>34</v>
      </c>
      <c r="E6" s="22" t="s">
        <v>40</v>
      </c>
      <c r="F6" s="22" t="s">
        <v>41</v>
      </c>
      <c r="G6" s="66" t="s">
        <v>46</v>
      </c>
      <c r="H6" s="22" t="s">
        <v>40</v>
      </c>
      <c r="I6" s="23" t="s">
        <v>41</v>
      </c>
      <c r="J6" s="37" t="s">
        <v>46</v>
      </c>
    </row>
    <row r="7" spans="4:10" x14ac:dyDescent="0.3">
      <c r="D7" s="29" t="s">
        <v>7</v>
      </c>
      <c r="E7" s="20">
        <v>190</v>
      </c>
      <c r="F7" s="20">
        <v>145</v>
      </c>
      <c r="G7" s="56">
        <v>168</v>
      </c>
      <c r="H7" s="20">
        <v>242</v>
      </c>
      <c r="I7" s="30">
        <v>200</v>
      </c>
      <c r="J7" s="30">
        <v>224</v>
      </c>
    </row>
    <row r="8" spans="4:10" x14ac:dyDescent="0.3">
      <c r="D8" s="31" t="s">
        <v>42</v>
      </c>
      <c r="E8" s="19">
        <v>170</v>
      </c>
      <c r="F8" s="19">
        <v>140</v>
      </c>
      <c r="G8" s="57">
        <v>160</v>
      </c>
      <c r="H8" s="19">
        <v>258</v>
      </c>
      <c r="I8" s="32">
        <v>149</v>
      </c>
      <c r="J8" s="32">
        <v>204</v>
      </c>
    </row>
    <row r="9" spans="4:10" x14ac:dyDescent="0.3">
      <c r="D9" s="33" t="s">
        <v>43</v>
      </c>
      <c r="E9" s="18">
        <v>306</v>
      </c>
      <c r="F9" s="18">
        <v>235</v>
      </c>
      <c r="G9" s="58">
        <v>270</v>
      </c>
      <c r="H9" s="18">
        <v>426</v>
      </c>
      <c r="I9" s="34">
        <v>304</v>
      </c>
      <c r="J9" s="34">
        <v>265</v>
      </c>
    </row>
    <row r="10" spans="4:10" x14ac:dyDescent="0.3">
      <c r="D10" s="31" t="s">
        <v>26</v>
      </c>
      <c r="E10" s="19">
        <v>355</v>
      </c>
      <c r="F10" s="19">
        <v>247</v>
      </c>
      <c r="G10" s="57">
        <v>319</v>
      </c>
      <c r="H10" s="19">
        <v>332</v>
      </c>
      <c r="I10" s="32">
        <v>307</v>
      </c>
      <c r="J10" s="32">
        <v>315</v>
      </c>
    </row>
    <row r="11" spans="4:10" x14ac:dyDescent="0.3">
      <c r="D11" s="47" t="s">
        <v>44</v>
      </c>
      <c r="E11" s="48">
        <v>769</v>
      </c>
      <c r="F11" s="48">
        <v>420</v>
      </c>
      <c r="G11" s="59">
        <v>575</v>
      </c>
      <c r="H11" s="48">
        <v>558</v>
      </c>
      <c r="I11" s="49">
        <v>413</v>
      </c>
      <c r="J11" s="49">
        <v>486</v>
      </c>
    </row>
    <row r="12" spans="4:10" ht="15" thickBot="1" x14ac:dyDescent="0.35">
      <c r="D12" s="41" t="s">
        <v>45</v>
      </c>
      <c r="E12" s="42">
        <v>474</v>
      </c>
      <c r="F12" s="42">
        <v>329</v>
      </c>
      <c r="G12" s="60">
        <v>405</v>
      </c>
      <c r="H12" s="42">
        <v>456</v>
      </c>
      <c r="I12" s="43">
        <v>332</v>
      </c>
      <c r="J12" s="43">
        <v>391</v>
      </c>
    </row>
    <row r="13" spans="4:10" ht="15" thickBot="1" x14ac:dyDescent="0.35">
      <c r="D13" s="50" t="s">
        <v>46</v>
      </c>
      <c r="E13" s="51">
        <v>325</v>
      </c>
      <c r="F13" s="51">
        <v>228</v>
      </c>
      <c r="G13" s="61">
        <v>278</v>
      </c>
      <c r="H13" s="51">
        <v>309</v>
      </c>
      <c r="I13" s="52">
        <v>251</v>
      </c>
      <c r="J13" s="52">
        <v>281</v>
      </c>
    </row>
    <row r="14" spans="4:10" ht="15" thickBot="1" x14ac:dyDescent="0.35">
      <c r="D14" s="21"/>
      <c r="E14" s="72" t="s">
        <v>38</v>
      </c>
      <c r="F14" s="72"/>
      <c r="G14" s="73"/>
      <c r="H14" s="72" t="s">
        <v>39</v>
      </c>
      <c r="I14" s="72"/>
      <c r="J14" s="73"/>
    </row>
    <row r="15" spans="4:10" ht="15" thickBot="1" x14ac:dyDescent="0.35">
      <c r="D15" s="25" t="s">
        <v>35</v>
      </c>
      <c r="E15" s="26" t="s">
        <v>40</v>
      </c>
      <c r="F15" s="26" t="s">
        <v>41</v>
      </c>
      <c r="G15" s="67" t="s">
        <v>46</v>
      </c>
      <c r="H15" s="26" t="s">
        <v>40</v>
      </c>
      <c r="I15" s="27" t="s">
        <v>41</v>
      </c>
      <c r="J15" s="68" t="s">
        <v>46</v>
      </c>
    </row>
    <row r="16" spans="4:10" x14ac:dyDescent="0.3">
      <c r="D16" s="35" t="s">
        <v>7</v>
      </c>
      <c r="E16" s="24">
        <v>98</v>
      </c>
      <c r="F16" s="24">
        <v>77</v>
      </c>
      <c r="G16" s="62">
        <v>88</v>
      </c>
      <c r="H16" s="24">
        <v>113</v>
      </c>
      <c r="I16" s="36">
        <v>93</v>
      </c>
      <c r="J16" s="36">
        <v>105</v>
      </c>
    </row>
    <row r="17" spans="4:10" x14ac:dyDescent="0.3">
      <c r="D17" s="33" t="s">
        <v>42</v>
      </c>
      <c r="E17" s="18">
        <v>93</v>
      </c>
      <c r="F17" s="18">
        <v>76</v>
      </c>
      <c r="G17" s="58">
        <v>87</v>
      </c>
      <c r="H17" s="18">
        <v>128</v>
      </c>
      <c r="I17" s="34">
        <v>73</v>
      </c>
      <c r="J17" s="34">
        <v>101</v>
      </c>
    </row>
    <row r="18" spans="4:10" x14ac:dyDescent="0.3">
      <c r="D18" s="31" t="s">
        <v>43</v>
      </c>
      <c r="E18" s="19">
        <v>161</v>
      </c>
      <c r="F18" s="19">
        <v>131</v>
      </c>
      <c r="G18" s="57">
        <v>146</v>
      </c>
      <c r="H18" s="19">
        <v>228</v>
      </c>
      <c r="I18" s="32">
        <v>162</v>
      </c>
      <c r="J18" s="32">
        <v>195</v>
      </c>
    </row>
    <row r="19" spans="4:10" x14ac:dyDescent="0.3">
      <c r="D19" s="33" t="s">
        <v>26</v>
      </c>
      <c r="E19" s="18">
        <v>198</v>
      </c>
      <c r="F19" s="18">
        <v>131</v>
      </c>
      <c r="G19" s="58">
        <v>176</v>
      </c>
      <c r="H19" s="18">
        <v>184</v>
      </c>
      <c r="I19" s="34">
        <v>170</v>
      </c>
      <c r="J19" s="34">
        <v>174</v>
      </c>
    </row>
    <row r="20" spans="4:10" x14ac:dyDescent="0.3">
      <c r="D20" s="38" t="s">
        <v>44</v>
      </c>
      <c r="E20" s="39">
        <v>430</v>
      </c>
      <c r="F20" s="39">
        <v>237</v>
      </c>
      <c r="G20" s="63">
        <v>323</v>
      </c>
      <c r="H20" s="39">
        <v>290</v>
      </c>
      <c r="I20" s="40">
        <v>213</v>
      </c>
      <c r="J20" s="40">
        <v>251</v>
      </c>
    </row>
    <row r="21" spans="4:10" ht="15" thickBot="1" x14ac:dyDescent="0.35">
      <c r="D21" s="44" t="s">
        <v>45</v>
      </c>
      <c r="E21" s="45">
        <v>262</v>
      </c>
      <c r="F21" s="45">
        <v>184</v>
      </c>
      <c r="G21" s="64">
        <v>225</v>
      </c>
      <c r="H21" s="45">
        <v>240</v>
      </c>
      <c r="I21" s="46">
        <v>175</v>
      </c>
      <c r="J21" s="46">
        <v>205</v>
      </c>
    </row>
    <row r="22" spans="4:10" ht="15" thickBot="1" x14ac:dyDescent="0.35">
      <c r="D22" s="53" t="s">
        <v>46</v>
      </c>
      <c r="E22" s="54">
        <v>176</v>
      </c>
      <c r="F22" s="54">
        <v>125</v>
      </c>
      <c r="G22" s="65">
        <v>151</v>
      </c>
      <c r="H22" s="54">
        <v>153</v>
      </c>
      <c r="I22" s="55">
        <v>125</v>
      </c>
      <c r="J22" s="55">
        <v>139</v>
      </c>
    </row>
  </sheetData>
  <mergeCells count="4">
    <mergeCell ref="H5:J5"/>
    <mergeCell ref="H14:J14"/>
    <mergeCell ref="E14:G14"/>
    <mergeCell ref="E5:G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Kampe</vt:lpstr>
      <vt:lpstr>Opsumering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Gerner Pedersen</dc:creator>
  <cp:lastModifiedBy>Sara Lilja Jensen</cp:lastModifiedBy>
  <dcterms:created xsi:type="dcterms:W3CDTF">2019-04-11T11:52:23Z</dcterms:created>
  <dcterms:modified xsi:type="dcterms:W3CDTF">2019-05-02T10:40:13Z</dcterms:modified>
</cp:coreProperties>
</file>